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5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uchwały'!$A$1:$D$49</definedName>
    <definedName name="_xlnm.Print_Area" localSheetId="6">'Ogółem Zmiany w paragrafach '!$A$1:$I$109</definedName>
    <definedName name="_xlnm.Print_Area" localSheetId="3">'Uchwała '!$A$1:$G$36</definedName>
    <definedName name="_xlnm.Print_Area" localSheetId="0">'zał1'!$A$1:$AA$50</definedName>
    <definedName name="_xlnm.Print_Area" localSheetId="1">'zał2'!$A$1:$Z$60</definedName>
    <definedName name="_xlnm.Print_Area" localSheetId="2">'zał3'!$C$1:$L$89</definedName>
    <definedName name="Excel_BuiltIn_Print_Area_3_1">'zał3'!$A$1:$L$94</definedName>
    <definedName name="Excel_BuiltIn_Print_Area_6_1">'Ogółem Zmiany w paragrafach '!$A$1:$K$109</definedName>
    <definedName name="Excel_BuiltIn_Print_Area_1_1">'zał1'!$A$1:$Z$50</definedName>
    <definedName name="Excel_BuiltIn_Print_Area_6_1_1">'Ogółem Zmiany w paragrafach '!$A$1:$J$109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<sst xmlns="http://schemas.openxmlformats.org/spreadsheetml/2006/main" count="683" uniqueCount="475">
  <si>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</si>
  <si>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</si>
  <si>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</si>
  <si>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</si>
  <si>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</si>
  <si>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</si>
  <si>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</si>
  <si>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</si>
  <si>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</si>
  <si>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</si>
  <si>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</si>
  <si>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</si>
  <si>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</si>
  <si>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</si>
  <si>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</si>
  <si>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</si>
  <si>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</si>
  <si>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</si>
  <si>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</si>
  <si>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</si>
  <si>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</si>
  <si>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</si>
  <si>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</si>
  <si>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</si>
  <si>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</si>
  <si>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</si>
  <si>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</si>
  <si>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</si>
  <si>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</si>
  <si>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</si>
  <si>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</si>
  <si>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</si>
  <si>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</si>
  <si>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</si>
  <si>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</si>
  <si>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</si>
  <si>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</si>
  <si>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</si>
  <si>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</si>
  <si>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</si>
  <si>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</si>
  <si>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</si>
  <si>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</si>
  <si>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</si>
  <si>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</si>
  <si>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</si>
  <si>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</si>
  <si>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</si>
  <si>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</si>
  <si>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</si>
  <si>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</si>
  <si>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</si>
  <si>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</si>
  <si>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</si>
  <si>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</si>
  <si>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</si>
  <si>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</si>
  <si>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</si>
  <si>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</si>
  <si>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</si>
  <si>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</si>
  <si>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</si>
  <si>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</si>
  <si>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</si>
  <si>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</si>
  <si>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</si>
  <si>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</si>
  <si>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</si>
  <si>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</si>
  <si>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</si>
  <si>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</si>
  <si>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</si>
  <si>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</si>
  <si>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</si>
  <si>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</si>
  <si>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</si>
  <si>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</si>
  <si>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</si>
  <si>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</si>
  <si>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</si>
  <si>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</si>
  <si>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</si>
  <si>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</si>
  <si>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</si>
  <si>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</si>
  <si>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</si>
  <si>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</si>
  <si>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</si>
  <si>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</si>
  <si>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</si>
  <si>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</si>
  <si>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</si>
  <si>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</si>
  <si>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</si>
  <si>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</si>
  <si>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</si>
  <si>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</si>
  <si>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</si>
  <si>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</si>
  <si>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</si>
  <si>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</si>
  <si>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</si>
  <si>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</si>
  <si>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</si>
  <si>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</si>
  <si>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</si>
  <si>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</si>
  <si>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</si>
  <si>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</si>
  <si>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</si>
  <si>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</si>
  <si>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</si>
  <si>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</si>
  <si>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</si>
  <si>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</si>
  <si>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</si>
  <si>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</si>
  <si>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</si>
  <si>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</si>
  <si>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</si>
  <si>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</si>
  <si>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</si>
  <si>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</si>
  <si>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</si>
  <si>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</si>
  <si>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</si>
  <si>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</si>
  <si>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</si>
  <si>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</si>
  <si>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</si>
  <si>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</si>
  <si>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</si>
  <si>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</si>
  <si>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</si>
  <si>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</si>
  <si>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</si>
  <si>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</si>
  <si>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</si>
  <si>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</si>
  <si>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</si>
  <si>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</si>
  <si>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</si>
  <si>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</si>
  <si>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</si>
  <si>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</si>
  <si>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</si>
  <si>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</si>
  <si>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</si>
  <si>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</si>
  <si>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</si>
  <si>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Zarządzenia  Nr </t>
  </si>
  <si>
    <t>520/IX/2012</t>
  </si>
  <si>
    <t>Burmistrza  Gołdapi</t>
  </si>
  <si>
    <t>z dnia 28 września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</si>
  <si>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</si>
  <si>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</si>
  <si>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</si>
  <si>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</si>
  <si>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</si>
  <si>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</si>
  <si>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</si>
  <si>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</si>
  <si>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</si>
  <si>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</si>
  <si>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</si>
  <si>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</si>
  <si>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</si>
  <si>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</si>
  <si>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</si>
  <si>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</si>
  <si>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</si>
  <si>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</si>
  <si>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</si>
  <si>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</si>
  <si>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</si>
  <si>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</si>
  <si>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
Budowa wiaty rekreacyjnej w Juchnajciach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</si>
  <si>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7 
Utworzenie miejsca rekreacji i wypoczynku w  miejscowości Skocze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</si>
  <si>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8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</si>
  <si>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</si>
  <si>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10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</si>
  <si>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</si>
  <si>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11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</si>
  <si>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</si>
  <si>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12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</si>
  <si>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</si>
  <si>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</si>
  <si>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</si>
  <si>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</si>
  <si>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</si>
  <si>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</si>
  <si>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</si>
  <si>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</si>
  <si>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</si>
  <si>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</si>
  <si>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</si>
  <si>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</si>
  <si>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</si>
  <si>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</si>
  <si>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</si>
  <si>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</si>
  <si>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bieżących o kwotę</t>
  </si>
  <si>
    <t xml:space="preserve"> plan dochodów majątkowych o kwotę</t>
  </si>
  <si>
    <t xml:space="preserve"> plan wydatków bieżących o kwotę</t>
  </si>
  <si>
    <t xml:space="preserve"> plan wydatków majatkowych o kwotę</t>
  </si>
  <si>
    <t>§ 2</t>
  </si>
  <si>
    <t>Plan dochodów budżetowych po zmianach wynosi, w tym:</t>
  </si>
  <si>
    <t xml:space="preserve">Plan dochodów bieżących </t>
  </si>
  <si>
    <t>Plan dochodów majątkowych</t>
  </si>
  <si>
    <t>§ 3</t>
  </si>
  <si>
    <t>Plan wydatków budżetowych po zmianach wynosi  w tym:</t>
  </si>
  <si>
    <r>
      <t xml:space="preserve">Plan wydatków bieżących </t>
    </r>
    <r>
      <rPr>
        <sz val="12"/>
        <rFont val=""/>
        <family val="1"/>
      </rPr>
      <t xml:space="preserve"> </t>
    </r>
  </si>
  <si>
    <t>Plan wydatków majątkowych</t>
  </si>
  <si>
    <t>§ 4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</si>
  <si>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</si>
  <si>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5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</si>
  <si>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</si>
  <si>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</si>
  <si>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</si>
  <si>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</si>
  <si>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</si>
  <si>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</si>
  <si>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Zmiany planu dochdów</t>
  </si>
  <si>
    <t>Zmiany planu wydatków</t>
  </si>
  <si>
    <t>010 – Rolnictwo i łowiectwo</t>
  </si>
  <si>
    <t>- Dotacja z ANR na zadanie: Kanalizacja we wsi Dąbie</t>
  </si>
  <si>
    <t>- Zwiększenie planu wydatków na zadanie: Kanalizacja we wsi Dabie</t>
  </si>
  <si>
    <t>700 – Gospodarka mieszkaniowa</t>
  </si>
  <si>
    <t>-Zmiana działu w którym zaplanowano zadanie: Platforma współpracy - EGO SA Lider Olecko</t>
  </si>
  <si>
    <t xml:space="preserve">- Wprowadzenie przedsięwzieć : Budowa wiat rekreacyjnych w Skoczach i Juchnajciaciach, dokumentacja </t>
  </si>
  <si>
    <t>710 – Działalność usługowa</t>
  </si>
  <si>
    <r>
      <t xml:space="preserve">- Zwiekszenie planu wydatków na budowę cmentarza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zmniejszono wartość zadania: Modernizacja sieci energet. ul Wojska Polskiego</t>
    </r>
    <r>
      <rPr>
        <b/>
        <sz val="12"/>
        <rFont val="Times New Roman"/>
        <family val="1"/>
      </rPr>
      <t>)</t>
    </r>
  </si>
  <si>
    <t>750 – Administracja publiczna</t>
  </si>
  <si>
    <r>
      <t xml:space="preserve">- Zwiekszenie planu wydatków na zakup samochodu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wynika to z rozstrzygniętego przetargu</t>
    </r>
    <r>
      <rPr>
        <b/>
        <sz val="12"/>
        <rFont val="Times New Roman"/>
        <family val="1"/>
      </rPr>
      <t>)</t>
    </r>
  </si>
  <si>
    <t>- Zmiana działu w którym zaplanowano zadanie: Platforma współpracy - EGO SA Lider Olecko</t>
  </si>
  <si>
    <t>754 – Bezpieczeństwo publiczne i ochrona
Przeciwpożarowa</t>
  </si>
  <si>
    <t>- Zmniejszenie planu wydatków na zakupy inwestycyjne</t>
  </si>
  <si>
    <t>- Przeniesienie planu wydatków pomiedzy paragafami, + - 500 zł</t>
  </si>
  <si>
    <t>801 – Oświata i wychowanie</t>
  </si>
  <si>
    <t>- Przeniesienie planu wydatków pomiedzy rozdziałami ( wynagrodzenia egzaminatorów) + - 1400 zł</t>
  </si>
  <si>
    <t>- Przeniesienia pomiedzy paragrafami wydatków w Przedszkolu</t>
  </si>
  <si>
    <t>- Wprowadzenie zadania : Likwidacja barier w Przedszkolu Samorzadowym Nr 1 w Gołdapi</t>
  </si>
  <si>
    <t>900 – Gospodarka komunalna i ochrona środowiska</t>
  </si>
  <si>
    <t>- Zmniejszenie planu wydatków inwestycyjnych na modernizację sieci energ. ul Wojska Polskiego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</si>
  <si>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</si>
  <si>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</si>
  <si>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</si>
  <si>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</si>
  <si>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</si>
  <si>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</si>
  <si>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</si>
  <si>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521/IX/2012 z dnia 28.września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</si>
  <si>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</si>
  <si>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</si>
  <si>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</si>
  <si>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</si>
  <si>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</si>
  <si>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</si>
  <si>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</si>
  <si>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</si>
  <si>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</si>
  <si>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</si>
  <si>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60016</t>
  </si>
  <si>
    <t>75023</t>
  </si>
  <si>
    <t>75075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</si>
  <si>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</si>
  <si>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75095</t>
  </si>
  <si>
    <t>85212</t>
  </si>
  <si>
    <t>wykreślić</t>
  </si>
  <si>
    <t>85203</t>
  </si>
  <si>
    <t>90095</t>
  </si>
  <si>
    <t>75495</t>
  </si>
  <si>
    <t>80113</t>
  </si>
  <si>
    <t>SP Boćwinka</t>
  </si>
  <si>
    <t>80101</t>
  </si>
  <si>
    <t>80103</t>
  </si>
  <si>
    <t>SP 2</t>
  </si>
  <si>
    <t>80146</t>
  </si>
  <si>
    <t>85401</t>
  </si>
  <si>
    <t xml:space="preserve">OPS </t>
  </si>
  <si>
    <t>2010</t>
  </si>
  <si>
    <t>85213</t>
  </si>
  <si>
    <t>85228</t>
  </si>
  <si>
    <t>85215</t>
  </si>
  <si>
    <t>85219</t>
  </si>
  <si>
    <t>SP 1</t>
  </si>
  <si>
    <t>92695</t>
  </si>
  <si>
    <t>80110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</si>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</sst>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.00\ [$zł-415];\-#,##0.00\ [$zł-415]"/>
    <numFmt numFmtId="174" formatCode="#,##0;\-#,##0"/>
    <numFmt numFmtId="175" formatCode="D\ MMMM\ YYYY"/>
    <numFmt numFmtId="176" formatCode="#,##0.0"/>
    <numFmt numFmtId="177" formatCode="#,##0.0000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1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7" fillId="0" borderId="1" xfId="0" applyFont="1" applyBorder="1" applyAlignment="1">
      <alignment horizontal="left" wrapText="1"/>
    </xf>
    <xf numFmtId="173" fontId="37" fillId="0" borderId="1" xfId="0" applyNumberFormat="1" applyFont="1" applyBorder="1" applyAlignment="1">
      <alignment horizontal="center"/>
    </xf>
    <xf numFmtId="164" fontId="36" fillId="2" borderId="1" xfId="0" applyFont="1" applyFill="1" applyBorder="1" applyAlignment="1">
      <alignment horizontal="center" wrapText="1"/>
    </xf>
    <xf numFmtId="164" fontId="37" fillId="0" borderId="1" xfId="0" applyFont="1" applyBorder="1" applyAlignment="1">
      <alignment wrapText="1"/>
    </xf>
    <xf numFmtId="171" fontId="38" fillId="0" borderId="1" xfId="0" applyNumberFormat="1" applyFont="1" applyBorder="1" applyAlignment="1">
      <alignment/>
    </xf>
    <xf numFmtId="164" fontId="37" fillId="0" borderId="1" xfId="0" applyFont="1" applyBorder="1" applyAlignment="1">
      <alignment vertical="top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41" fillId="3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43" fillId="5" borderId="1" xfId="0" applyFont="1" applyFill="1" applyBorder="1" applyAlignment="1">
      <alignment horizontal="right"/>
    </xf>
    <xf numFmtId="172" fontId="44" fillId="5" borderId="1" xfId="0" applyNumberFormat="1" applyFont="1" applyFill="1" applyBorder="1" applyAlignment="1">
      <alignment horizontal="right"/>
    </xf>
    <xf numFmtId="166" fontId="44" fillId="5" borderId="1" xfId="0" applyNumberFormat="1" applyFont="1" applyFill="1" applyBorder="1" applyAlignment="1">
      <alignment/>
    </xf>
    <xf numFmtId="164" fontId="44" fillId="5" borderId="1" xfId="0" applyFont="1" applyFill="1" applyBorder="1" applyAlignment="1">
      <alignment/>
    </xf>
    <xf numFmtId="164" fontId="43" fillId="6" borderId="1" xfId="0" applyFont="1" applyFill="1" applyBorder="1" applyAlignment="1">
      <alignment horizontal="right"/>
    </xf>
    <xf numFmtId="172" fontId="44" fillId="6" borderId="1" xfId="0" applyNumberFormat="1" applyFont="1" applyFill="1" applyBorder="1" applyAlignment="1">
      <alignment horizontal="right"/>
    </xf>
    <xf numFmtId="166" fontId="44" fillId="6" borderId="1" xfId="0" applyNumberFormat="1" applyFont="1" applyFill="1" applyBorder="1" applyAlignment="1">
      <alignment/>
    </xf>
    <xf numFmtId="164" fontId="44" fillId="6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45" fillId="0" borderId="3" xfId="0" applyFont="1" applyBorder="1" applyAlignment="1">
      <alignment/>
    </xf>
    <xf numFmtId="164" fontId="45" fillId="0" borderId="3" xfId="0" applyFont="1" applyFill="1" applyBorder="1" applyAlignment="1">
      <alignment/>
    </xf>
    <xf numFmtId="166" fontId="45" fillId="0" borderId="3" xfId="0" applyNumberFormat="1" applyFont="1" applyFill="1" applyBorder="1" applyAlignment="1">
      <alignment/>
    </xf>
    <xf numFmtId="164" fontId="45" fillId="2" borderId="3" xfId="0" applyFont="1" applyFill="1" applyBorder="1" applyAlignment="1">
      <alignment/>
    </xf>
    <xf numFmtId="164" fontId="45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5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0" fillId="0" borderId="0" xfId="0" applyFont="1" applyAlignment="1">
      <alignment/>
    </xf>
    <xf numFmtId="164" fontId="0" fillId="0" borderId="1" xfId="0" applyFont="1" applyBorder="1" applyAlignment="1">
      <alignment/>
    </xf>
    <xf numFmtId="164" fontId="46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7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7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7" fillId="0" borderId="0" xfId="0" applyFont="1" applyBorder="1" applyAlignment="1">
      <alignment horizontal="center" vertical="center"/>
    </xf>
    <xf numFmtId="164" fontId="48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9" fillId="2" borderId="1" xfId="0" applyFont="1" applyFill="1" applyBorder="1" applyAlignment="1">
      <alignment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1" xfId="0" applyFont="1" applyFill="1" applyBorder="1" applyAlignment="1">
      <alignment horizontal="center" vertical="center" wrapText="1"/>
    </xf>
    <xf numFmtId="164" fontId="5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51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8" fillId="0" borderId="0" xfId="0" applyFont="1" applyBorder="1" applyAlignment="1">
      <alignment horizontal="left" wrapText="1"/>
    </xf>
    <xf numFmtId="164" fontId="49" fillId="0" borderId="0" xfId="0" applyFont="1" applyFill="1" applyAlignment="1">
      <alignment vertical="center"/>
    </xf>
    <xf numFmtId="164" fontId="49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2" fillId="2" borderId="1" xfId="0" applyFont="1" applyFill="1" applyBorder="1" applyAlignment="1">
      <alignment horizontal="center" vertical="center"/>
    </xf>
    <xf numFmtId="164" fontId="52" fillId="2" borderId="1" xfId="0" applyFont="1" applyFill="1" applyBorder="1" applyAlignment="1">
      <alignment horizontal="center" vertical="center" wrapText="1"/>
    </xf>
    <xf numFmtId="164" fontId="49" fillId="0" borderId="1" xfId="0" applyFont="1" applyBorder="1" applyAlignment="1">
      <alignment horizontal="center" vertical="top"/>
    </xf>
    <xf numFmtId="164" fontId="53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3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7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4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5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8" borderId="1" xfId="0" applyFont="1" applyFill="1" applyBorder="1" applyAlignment="1" applyProtection="1">
      <alignment vertical="center" wrapText="1"/>
      <protection/>
    </xf>
    <xf numFmtId="166" fontId="33" fillId="8" borderId="1" xfId="0" applyNumberFormat="1" applyFont="1" applyFill="1" applyBorder="1" applyAlignment="1" applyProtection="1">
      <alignment vertical="center"/>
      <protection/>
    </xf>
    <xf numFmtId="164" fontId="0" fillId="8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8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8" borderId="1" xfId="0" applyNumberFormat="1" applyFont="1" applyFill="1" applyBorder="1" applyAlignment="1" applyProtection="1">
      <alignment vertical="center"/>
      <protection locked="0"/>
    </xf>
    <xf numFmtId="176" fontId="31" fillId="8" borderId="1" xfId="0" applyNumberFormat="1" applyFont="1" applyFill="1" applyBorder="1" applyAlignment="1" applyProtection="1">
      <alignment vertical="center"/>
      <protection locked="0"/>
    </xf>
    <xf numFmtId="166" fontId="55" fillId="8" borderId="1" xfId="0" applyNumberFormat="1" applyFont="1" applyFill="1" applyBorder="1" applyAlignment="1" applyProtection="1">
      <alignment vertical="center"/>
      <protection/>
    </xf>
    <xf numFmtId="166" fontId="0" fillId="8" borderId="1" xfId="0" applyNumberFormat="1" applyFont="1" applyFill="1" applyBorder="1" applyAlignment="1" applyProtection="1">
      <alignment vertical="center"/>
      <protection/>
    </xf>
    <xf numFmtId="167" fontId="3" fillId="8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7" fontId="3" fillId="8" borderId="1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B1">
      <selection activeCell="E18" sqref="E1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Zarządzenia  Nr </v>
      </c>
      <c r="Z2" s="5">
        <f>zał3!K2</f>
        <v>0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28 września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91251414.13</v>
      </c>
      <c r="H8" s="14">
        <f>SUM(H9:H10)</f>
        <v>71039355.80503</v>
      </c>
      <c r="I8" s="14">
        <f>SUM(I9:I10)</f>
        <v>68489214.63098593</v>
      </c>
      <c r="J8" s="14">
        <f>SUM(J9:J10)</f>
        <v>70608739.6005465</v>
      </c>
      <c r="K8" s="14">
        <f>SUM(K9:K10)</f>
        <v>72793860.62364343</v>
      </c>
      <c r="L8" s="14">
        <f>SUM(L9:L10)</f>
        <v>75046607.90132077</v>
      </c>
      <c r="M8" s="14">
        <f>SUM(M9:M10)</f>
        <v>77369074.47255644</v>
      </c>
      <c r="N8" s="14">
        <f>SUM(N9:N10)</f>
        <v>79763418.15928927</v>
      </c>
      <c r="O8" s="14">
        <f>SUM(O9:O10)</f>
        <v>82231863.57165332</v>
      </c>
      <c r="P8" s="14">
        <f>SUM(P9:P10)</f>
        <v>84776704.17528345</v>
      </c>
      <c r="Q8" s="14">
        <f>SUM(Q9:Q10)</f>
        <v>87400304.42261335</v>
      </c>
      <c r="R8" s="14">
        <f>SUM(R9:R10)</f>
        <v>90105101.95014738</v>
      </c>
      <c r="S8" s="14">
        <f>SUM(S9:S10)</f>
        <v>92893609.84374794</v>
      </c>
      <c r="T8" s="14">
        <f>SUM(T9:T10)</f>
        <v>95768418.97404452</v>
      </c>
      <c r="U8" s="14">
        <f>SUM(U9:U10)</f>
        <v>98732200.4041345</v>
      </c>
      <c r="V8" s="14">
        <f>SUM(V9:V10)</f>
        <v>101787707.8718141</v>
      </c>
      <c r="W8" s="14">
        <f>SUM(W9:W10)</f>
        <v>104937780.34864631</v>
      </c>
      <c r="X8" s="14">
        <f>SUM(X9:X10)</f>
        <v>108185344.67824449</v>
      </c>
      <c r="Y8" s="14">
        <f>SUM(Y9:Y10)</f>
        <v>111533418.29622394</v>
      </c>
      <c r="Z8" s="14">
        <f>SUM(Z9:Z10)</f>
        <v>114985112.03434935</v>
      </c>
      <c r="AA8" s="14">
        <f>SUM(AA9:AA10)</f>
        <v>118543633.01148494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61007441.13</v>
      </c>
      <c r="H9" s="18">
        <f>zał2!G9</f>
        <v>62898671.80503</v>
      </c>
      <c r="I9" s="18">
        <f>zał2!H9</f>
        <v>64848530.63098593</v>
      </c>
      <c r="J9" s="18">
        <f>zał2!I9</f>
        <v>66858835.08054649</v>
      </c>
      <c r="K9" s="18">
        <f>zał2!J9</f>
        <v>68931458.96804343</v>
      </c>
      <c r="L9" s="18">
        <f>zał2!K9</f>
        <v>71068334.19605277</v>
      </c>
      <c r="M9" s="18">
        <f>zał2!L9</f>
        <v>73271452.55613041</v>
      </c>
      <c r="N9" s="18">
        <f>zał2!M9</f>
        <v>75542867.58537045</v>
      </c>
      <c r="O9" s="18">
        <f>zał2!N9</f>
        <v>77884696.48051694</v>
      </c>
      <c r="P9" s="18">
        <f>zał2!O9</f>
        <v>80299122.07141297</v>
      </c>
      <c r="Q9" s="18">
        <f>zał2!P9</f>
        <v>82788394.85562676</v>
      </c>
      <c r="R9" s="18">
        <f>zał2!Q9</f>
        <v>85354835.09615119</v>
      </c>
      <c r="S9" s="18">
        <f>zał2!R9</f>
        <v>88000834.98413187</v>
      </c>
      <c r="T9" s="18">
        <f>zał2!S9</f>
        <v>90728860.86863996</v>
      </c>
      <c r="U9" s="18">
        <f>zał2!T9</f>
        <v>93541455.5555678</v>
      </c>
      <c r="V9" s="18">
        <f>zał2!U9</f>
        <v>96441240.6777904</v>
      </c>
      <c r="W9" s="18">
        <f>zał2!V9</f>
        <v>99430919.1388019</v>
      </c>
      <c r="X9" s="18">
        <f>zał2!W9</f>
        <v>102513277.63210475</v>
      </c>
      <c r="Y9" s="18">
        <f>zał2!X9</f>
        <v>105691189.2387</v>
      </c>
      <c r="Z9" s="18">
        <f>zał2!Y9</f>
        <v>108967616.10509971</v>
      </c>
      <c r="AA9" s="18">
        <f>zał2!Z9</f>
        <v>112345612.2043578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30243973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12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12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58892450.61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25529137.01-17500</f>
        <v>25511637.01</v>
      </c>
      <c r="H14" s="18">
        <f>SUM(G14+0.03*G14)</f>
        <v>26276986.120300002</v>
      </c>
      <c r="I14" s="18">
        <f>SUM(H14+0.03*H14)</f>
        <v>27065295.703909002</v>
      </c>
      <c r="J14" s="18">
        <f>SUM(I14+0.03*I14)</f>
        <v>27877254.575026274</v>
      </c>
      <c r="K14" s="18">
        <f>SUM(J14+0.03*J14)</f>
        <v>28713572.212277062</v>
      </c>
      <c r="L14" s="18">
        <f>SUM(K14+0.03*K14)</f>
        <v>29574979.378645375</v>
      </c>
      <c r="M14" s="18">
        <f>SUM(L14+0.03*L14)</f>
        <v>30462228.760004736</v>
      </c>
      <c r="N14" s="18">
        <f>SUM(M14+0.03*M14)</f>
        <v>31376095.62280488</v>
      </c>
      <c r="O14" s="18">
        <f>SUM(N14+0.03*N14)</f>
        <v>32317378.491489027</v>
      </c>
      <c r="P14" s="18">
        <f>SUM(O14+0.03*O14)</f>
        <v>33286899.846233696</v>
      </c>
      <c r="Q14" s="18">
        <f>SUM(P14+0.03*P14)</f>
        <v>34285506.841620706</v>
      </c>
      <c r="R14" s="18">
        <f>SUM(Q14+0.03*Q14)</f>
        <v>35314072.04686933</v>
      </c>
      <c r="S14" s="18">
        <f>SUM(R14+0.03*R14)</f>
        <v>36373494.20827541</v>
      </c>
      <c r="T14" s="18">
        <f>SUM(S14+0.03*S14)</f>
        <v>37464699.034523666</v>
      </c>
      <c r="U14" s="18">
        <f>SUM(T14+0.03*T14)</f>
        <v>38588640.00555938</v>
      </c>
      <c r="V14" s="18">
        <f>SUM(U14+0.03*U14)</f>
        <v>39746299.20572616</v>
      </c>
      <c r="W14" s="18">
        <f>SUM(V14+0.03*V14)</f>
        <v>40938688.181897946</v>
      </c>
      <c r="X14" s="18">
        <f>SUM(W14+0.03*W14)</f>
        <v>42166848.827354886</v>
      </c>
      <c r="Y14" s="18">
        <f>SUM(X14+0.03*X14)</f>
        <v>43431854.29217553</v>
      </c>
      <c r="Z14" s="18">
        <f>SUM(Y14+0.03*Y14)</f>
        <v>44734809.920940794</v>
      </c>
      <c r="AA14" s="18">
        <f>SUM(Z14+0.03*Z14)</f>
        <v>46076854.21856902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4435000-6840+45000</f>
        <v>4473160</v>
      </c>
      <c r="H15" s="18">
        <f>SUM(G15+0.03*G15)</f>
        <v>4607354.8</v>
      </c>
      <c r="I15" s="18">
        <f>SUM(H15+0.03*H15)</f>
        <v>4745575.444</v>
      </c>
      <c r="J15" s="18">
        <f>SUM(I15+0.03*I15)</f>
        <v>4887942.70732</v>
      </c>
      <c r="K15" s="18">
        <f>SUM(J15+0.03*J15)</f>
        <v>5034580.9885396</v>
      </c>
      <c r="L15" s="18">
        <f>SUM(K15+0.03*K15)</f>
        <v>5185618.418195788</v>
      </c>
      <c r="M15" s="18">
        <f>SUM(L15+0.03*L15)</f>
        <v>5341186.970741661</v>
      </c>
      <c r="N15" s="18">
        <f>SUM(M15+0.03*M15)</f>
        <v>5501422.5798639115</v>
      </c>
      <c r="O15" s="18">
        <f>SUM(N15+0.03*N15)</f>
        <v>5666465.257259829</v>
      </c>
      <c r="P15" s="18">
        <f>SUM(O15+0.03*O15)</f>
        <v>5836459.214977624</v>
      </c>
      <c r="Q15" s="18">
        <f>SUM(P15+0.03*P15)</f>
        <v>6011552.991426952</v>
      </c>
      <c r="R15" s="18">
        <f>SUM(Q15+0.03*Q15)</f>
        <v>6191899.581169761</v>
      </c>
      <c r="S15" s="18">
        <f>SUM(R15+0.03*R15)</f>
        <v>6377656.568604854</v>
      </c>
      <c r="T15" s="18">
        <f>SUM(S15+0.03*S15)</f>
        <v>6568986.265663</v>
      </c>
      <c r="U15" s="18">
        <f>SUM(T15+0.03*T15)</f>
        <v>6766055.85363289</v>
      </c>
      <c r="V15" s="18">
        <f>SUM(U15+0.03*U15)</f>
        <v>6969037.529241877</v>
      </c>
      <c r="W15" s="18">
        <f>SUM(V15+0.03*V15)</f>
        <v>7178108.655119133</v>
      </c>
      <c r="X15" s="18">
        <f>SUM(W15+0.03*W15)</f>
        <v>7393451.914772707</v>
      </c>
      <c r="Y15" s="18">
        <f>SUM(X15+0.03*X15)</f>
        <v>7615255.472215888</v>
      </c>
      <c r="Z15" s="18">
        <f>SUM(Y15+0.03*Y15)</f>
        <v>7843713.136382365</v>
      </c>
      <c r="AA15" s="18">
        <f>SUM(Z15+0.03*Z15)</f>
        <v>8079024.530473836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12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12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1851833.32</v>
      </c>
      <c r="G18" s="18">
        <f>zał3!H12</f>
        <v>1490035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32358963.519999996</v>
      </c>
      <c r="H19" s="14">
        <f>SUM(H8-H13)</f>
        <v>22152393.880960003</v>
      </c>
      <c r="I19" s="14">
        <f>SUM(I8-I13)</f>
        <v>17719964.13284593</v>
      </c>
      <c r="J19" s="14">
        <f>SUM(J8-J13)</f>
        <v>18055382.398336492</v>
      </c>
      <c r="K19" s="14">
        <f>SUM(K8-K13)</f>
        <v>18409088.848263428</v>
      </c>
      <c r="L19" s="14">
        <f>SUM(L8-L13)</f>
        <v>18781694.447597764</v>
      </c>
      <c r="M19" s="14">
        <f>SUM(M8-M13)</f>
        <v>19173830.42216225</v>
      </c>
      <c r="N19" s="14">
        <f>SUM(N8-N13)</f>
        <v>19586148.38634585</v>
      </c>
      <c r="O19" s="14">
        <f>SUM(O8-O13)</f>
        <v>20080219.839306295</v>
      </c>
      <c r="P19" s="14">
        <f>SUM(P8-P13)</f>
        <v>20688692.42117481</v>
      </c>
      <c r="Q19" s="14">
        <f>SUM(Q8-Q13)</f>
        <v>21319436.577000357</v>
      </c>
      <c r="R19" s="14">
        <f>SUM(R8-R13)</f>
        <v>21973195.301194996</v>
      </c>
      <c r="S19" s="14">
        <f>SUM(S8-S13)</f>
        <v>22650736.19826609</v>
      </c>
      <c r="T19" s="14">
        <f>SUM(T8-T13)</f>
        <v>23352852.293047413</v>
      </c>
      <c r="U19" s="14">
        <f>SUM(U8-U13)</f>
        <v>24080362.867466778</v>
      </c>
      <c r="V19" s="14">
        <f>SUM(V8-V13)</f>
        <v>24834114.324715763</v>
      </c>
      <c r="W19" s="14">
        <f>SUM(W8-W13)</f>
        <v>25614981.08171451</v>
      </c>
      <c r="X19" s="14">
        <f>SUM(X8-X13)</f>
        <v>26423866.49079433</v>
      </c>
      <c r="Y19" s="14">
        <f>SUM(Y8-Y13)</f>
        <v>27261703.79154998</v>
      </c>
      <c r="Z19" s="14">
        <f>SUM(Z8-Z13)</f>
        <v>28129456.373844966</v>
      </c>
      <c r="AA19" s="14">
        <f>SUM(AA8-AA13)</f>
        <v>29056432.552985325</v>
      </c>
    </row>
    <row r="20" spans="1:27" ht="12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15768883.805030003</v>
      </c>
      <c r="J20" s="18">
        <f>J62</f>
        <v>14174915.63098593</v>
      </c>
      <c r="K20" s="18">
        <f>K62</f>
        <v>14717511.630546495</v>
      </c>
      <c r="L20" s="18">
        <f>L62</f>
        <v>15203395.814543426</v>
      </c>
      <c r="M20" s="18">
        <f>M62</f>
        <v>15705929.147947766</v>
      </c>
      <c r="N20" s="18">
        <f>N62</f>
        <v>16225675.356582247</v>
      </c>
      <c r="O20" s="18">
        <f>O62</f>
        <v>16763217.06983585</v>
      </c>
      <c r="P20" s="18">
        <f>P62</f>
        <v>17319156.449516296</v>
      </c>
      <c r="Q20" s="18">
        <f>Q62</f>
        <v>17894115.839482307</v>
      </c>
      <c r="R20" s="18">
        <f>R62</f>
        <v>18488738.436738178</v>
      </c>
      <c r="S20" s="18">
        <f>S62</f>
        <v>19103688.984695956</v>
      </c>
      <c r="T20" s="18">
        <f>T62</f>
        <v>19739654.48933299</v>
      </c>
      <c r="U20" s="18">
        <f>U62</f>
        <v>20397344.9589971</v>
      </c>
      <c r="V20" s="18">
        <f>V62</f>
        <v>21077494.168635666</v>
      </c>
      <c r="W20" s="18">
        <f>W62</f>
        <v>21780860.44925031</v>
      </c>
      <c r="X20" s="18">
        <f>X62</f>
        <v>22508227.5034056</v>
      </c>
      <c r="Y20" s="18">
        <f>Y62</f>
        <v>23260405.247646555</v>
      </c>
      <c r="Z20" s="18">
        <f>Z62</f>
        <v>24038230.68270807</v>
      </c>
      <c r="AA20" s="18">
        <f>AA62</f>
        <v>24842568.792428</v>
      </c>
    </row>
    <row r="21" spans="1:27" ht="12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12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33070041.519999996</v>
      </c>
      <c r="H23" s="14">
        <f>SUM(H19+H20+H22)</f>
        <v>22902393.880960003</v>
      </c>
      <c r="I23" s="14">
        <f>SUM(I19+I20+I22)</f>
        <v>33488847.937875934</v>
      </c>
      <c r="J23" s="14">
        <f>SUM(J19+J20+J22)</f>
        <v>32230298.029322423</v>
      </c>
      <c r="K23" s="14">
        <f>SUM(K19+K20+K22)</f>
        <v>33126600.478809923</v>
      </c>
      <c r="L23" s="14">
        <f>SUM(L19+L20+L22)</f>
        <v>33985090.26214119</v>
      </c>
      <c r="M23" s="14">
        <f>SUM(M19+M20+M22)</f>
        <v>34879759.570110016</v>
      </c>
      <c r="N23" s="14">
        <f>SUM(N19+N20+N22)</f>
        <v>35811823.742928095</v>
      </c>
      <c r="O23" s="14">
        <f>SUM(O19+O20+O22)</f>
        <v>36843436.909142144</v>
      </c>
      <c r="P23" s="14">
        <f>SUM(P19+P20+P22)</f>
        <v>38007848.870691106</v>
      </c>
      <c r="Q23" s="14">
        <f>SUM(Q19+Q20+Q22)</f>
        <v>39213552.416482665</v>
      </c>
      <c r="R23" s="14">
        <f>SUM(R19+R20+R22)</f>
        <v>40461933.737933174</v>
      </c>
      <c r="S23" s="14">
        <f>SUM(S19+S20+S22)</f>
        <v>41754425.182962045</v>
      </c>
      <c r="T23" s="14">
        <f>SUM(T19+T20+T22)</f>
        <v>43092506.7823804</v>
      </c>
      <c r="U23" s="14">
        <f>SUM(U19+U20+U22)</f>
        <v>44477707.82646388</v>
      </c>
      <c r="V23" s="14">
        <f>SUM(V19+V20+V22)</f>
        <v>45911608.49335143</v>
      </c>
      <c r="W23" s="14">
        <f>SUM(W19+W20+W22)</f>
        <v>47395841.53096482</v>
      </c>
      <c r="X23" s="14">
        <f>SUM(X19+X20+X22)</f>
        <v>48932093.99419993</v>
      </c>
      <c r="Y23" s="14">
        <f>SUM(Y19+Y20+Y22)</f>
        <v>50522109.039196536</v>
      </c>
      <c r="Z23" s="14">
        <f>SUM(Z19+Z20+Z22)</f>
        <v>52167687.056553036</v>
      </c>
      <c r="AA23" s="14">
        <f>SUM(AA19+AA20+AA22)</f>
        <v>53899001.34541333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12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12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23388900.629999995</v>
      </c>
      <c r="H28" s="14">
        <f>SUM(H23-H24-H27)</f>
        <v>14901230.370530002</v>
      </c>
      <c r="I28" s="14">
        <f>SUM(I23-I24-I27)</f>
        <v>25838973.201515935</v>
      </c>
      <c r="J28" s="14">
        <f>SUM(J23-J24-J27)</f>
        <v>27189465.027032424</v>
      </c>
      <c r="K28" s="14">
        <f>SUM(K23-K24-K27)</f>
        <v>28292945.210589923</v>
      </c>
      <c r="L28" s="14">
        <f>SUM(L23-L24-L27)</f>
        <v>29358612.72799119</v>
      </c>
      <c r="M28" s="14">
        <f>SUM(M23-M24-M27)</f>
        <v>30460459.770030014</v>
      </c>
      <c r="N28" s="14">
        <f>SUM(N23-N24-N27)</f>
        <v>31599693.216918096</v>
      </c>
      <c r="O28" s="14">
        <f>SUM(O23-O24-O27)</f>
        <v>33792540.58060215</v>
      </c>
      <c r="P28" s="14">
        <f>SUM(P23-P24-P27)</f>
        <v>36557863.635821104</v>
      </c>
      <c r="Q28" s="14">
        <f>SUM(Q23-Q24-Q27)</f>
        <v>37816999.54528266</v>
      </c>
      <c r="R28" s="14">
        <f>SUM(R23-R24-R27)</f>
        <v>39118813.23040317</v>
      </c>
      <c r="S28" s="14">
        <f>SUM(S23-S24-S27)</f>
        <v>40464737.03910205</v>
      </c>
      <c r="T28" s="14">
        <f>SUM(T23-T24-T27)</f>
        <v>41856251.0021904</v>
      </c>
      <c r="U28" s="14">
        <f>SUM(U23-U24-U27)</f>
        <v>43294884.40994388</v>
      </c>
      <c r="V28" s="14">
        <f>SUM(V23-V24-V27)</f>
        <v>44782217.44050143</v>
      </c>
      <c r="W28" s="14">
        <f>SUM(W23-W24-W27)</f>
        <v>46319882.84178482</v>
      </c>
      <c r="X28" s="14">
        <f>SUM(X23-X24-X27)</f>
        <v>47909567.66868993</v>
      </c>
      <c r="Y28" s="14">
        <f>SUM(Y23-Y24-Y27)</f>
        <v>49553015.07735653</v>
      </c>
      <c r="Z28" s="14">
        <f>SUM(Z23-Z24-Z27)</f>
        <v>51252014.17838304</v>
      </c>
      <c r="AA28" s="14">
        <f>SUM(AA23-AA24-AA27)</f>
        <v>53480309.950913325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31762728.52</v>
      </c>
      <c r="H29" s="18">
        <f>zał2!G14</f>
        <v>4987172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27291579</v>
      </c>
      <c r="H30" s="18">
        <f>zał3!I13</f>
        <v>3987172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12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9914058.370530002</v>
      </c>
      <c r="I33" s="25">
        <f>SUM(I28-I29+I31)</f>
        <v>23338973.201515935</v>
      </c>
      <c r="J33" s="25">
        <f>SUM(J28-J29+J31)</f>
        <v>24689465.027032424</v>
      </c>
      <c r="K33" s="25">
        <f>SUM(K28-K29+K31)</f>
        <v>25717945.210589923</v>
      </c>
      <c r="L33" s="25">
        <f>SUM(L28-L29+L31)</f>
        <v>26706362.72799119</v>
      </c>
      <c r="M33" s="25">
        <f>SUM(M28-M29+M31)</f>
        <v>27728642.270030014</v>
      </c>
      <c r="N33" s="25">
        <f>SUM(N28-N29+N31)</f>
        <v>28785921.191918097</v>
      </c>
      <c r="O33" s="25">
        <f>SUM(O28-O29+O31)</f>
        <v>30894355.394852147</v>
      </c>
      <c r="P33" s="25">
        <f>SUM(P28-P29+P31)</f>
        <v>33572732.8944986</v>
      </c>
      <c r="Q33" s="25">
        <f>SUM(Q28-Q29+Q31)</f>
        <v>34742314.88172048</v>
      </c>
      <c r="R33" s="25">
        <f>SUM(R28-R29+R31)</f>
        <v>35951888.02693413</v>
      </c>
      <c r="S33" s="25">
        <f>SUM(S28-S29+S31)</f>
        <v>37202804.079528935</v>
      </c>
      <c r="T33" s="25">
        <f>SUM(T28-T29+T31)</f>
        <v>38496460.0538301</v>
      </c>
      <c r="U33" s="25">
        <f>SUM(U28-U29+U31)</f>
        <v>39834299.733132765</v>
      </c>
      <c r="V33" s="25">
        <f>SUM(V28-V29+V31)</f>
        <v>41217815.22338598</v>
      </c>
      <c r="W33" s="25">
        <f>SUM(W28-W29+W31)</f>
        <v>42648548.55815591</v>
      </c>
      <c r="X33" s="25">
        <f>SUM(X28-X29+X31)</f>
        <v>44128093.356552154</v>
      </c>
      <c r="Y33" s="25">
        <f>SUM(Y28-Y29+Y31)</f>
        <v>45658096.53585462</v>
      </c>
      <c r="Z33" s="25">
        <f>SUM(Z28-Z29+Z31)</f>
        <v>47240248.08063607</v>
      </c>
      <c r="AA33" s="25">
        <f>SUM(AA28-AA29+AA31)</f>
        <v>49348190.870233946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12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12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12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0.09024719308204765</v>
      </c>
      <c r="H38" s="27">
        <f>zał2!G45</f>
        <v>0.09552068967311118</v>
      </c>
      <c r="I38" s="27">
        <f>zał2!H45</f>
        <v>0.09394821536541503</v>
      </c>
      <c r="J38" s="27">
        <f>zał2!I45</f>
        <v>0.057345801315771695</v>
      </c>
      <c r="K38" s="27">
        <f>zał2!J45</f>
        <v>0.052778311045810086</v>
      </c>
      <c r="L38" s="27">
        <f>zał2!K45</f>
        <v>0.048433358759257535</v>
      </c>
      <c r="M38" s="27">
        <f>zał2!L45</f>
        <v>0.044301700303986405</v>
      </c>
      <c r="N38" s="27">
        <f>zał2!M45</f>
        <v>0.04037451441184194</v>
      </c>
      <c r="O38" s="27">
        <f>zał2!N45</f>
        <v>0.03077387485369281</v>
      </c>
      <c r="P38" s="27">
        <f>zał2!O45</f>
        <v>0.014663968090805344</v>
      </c>
      <c r="Q38" s="27">
        <f>zał2!P45</f>
        <v>0.01361242994586387</v>
      </c>
      <c r="R38" s="27">
        <f>zał2!Q45</f>
        <v>0.012610808188849089</v>
      </c>
      <c r="S38" s="27">
        <f>zał2!R45</f>
        <v>0.011657053651822112</v>
      </c>
      <c r="T38" s="27">
        <f>zał2!S45</f>
        <v>0.010749195206710064</v>
      </c>
      <c r="U38" s="27">
        <f>zał2!T45</f>
        <v>0.00988533692680802</v>
      </c>
      <c r="V38" s="27">
        <f>zał2!U45</f>
        <v>0.009063655348363215</v>
      </c>
      <c r="W38" s="27">
        <f>zał2!V45</f>
        <v>0.008282396828791054</v>
      </c>
      <c r="X38" s="27">
        <f>zał2!W45</f>
        <v>0.00753987499818942</v>
      </c>
      <c r="Y38" s="27">
        <f>zał2!X45</f>
        <v>0.006834468300930824</v>
      </c>
      <c r="Z38" s="27">
        <f>zał2!Y45</f>
        <v>0.006164315672086837</v>
      </c>
      <c r="AA38" s="27">
        <f>zał2!Z45</f>
        <v>0.0024215306820585545</v>
      </c>
    </row>
    <row r="39" spans="1:27" ht="12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0.09064736934388773</v>
      </c>
      <c r="I39" s="27">
        <f>((H9+H11-H13-H26)/H8+(G9+G11-G13-G26)/G8+(F9+F11-F13-F26)/F8)/3</f>
        <v>0.14453164565348917</v>
      </c>
      <c r="J39" s="27">
        <f>((I9+I11-I13-I26)/I8+(H9+H11-H13-H26)/H8+(G9+G11-G13-G26)/G8)/3</f>
        <v>0.17166048347437424</v>
      </c>
      <c r="K39" s="27">
        <f>((J9+J11-J13-J26)/J8+(I9+I11-I13-I26)/I8+(H9+H11-H13-H26)/H8)/3</f>
        <v>0.21824727602001823</v>
      </c>
      <c r="L39" s="27">
        <f>((K9+K11-K13-K26)/K8+(J9+J11-J13-J26)/J8+(I9+I11-I13-I26)/I8)/3</f>
        <v>0.2019947137236364</v>
      </c>
      <c r="M39" s="27">
        <f>((L9+L11-L13-L26)/L8+(K9+K11-K13-K26)/K8+(J9+J11-J13-J26)/J8)/3</f>
        <v>0.20272765604726528</v>
      </c>
      <c r="N39" s="27">
        <f>((M9+M11-M13-M26)/M8+(L9+L11-L13-L26)/L8+(K9+K11-K13-K26)/K8)/3</f>
        <v>0.203459962874329</v>
      </c>
      <c r="O39" s="27">
        <f>((N9+N11-N13-N26)/N8+(M9+M11-M13-M26)/M8+(L9+L11-L13-L26)/L8)/3</f>
        <v>0.20419163468662724</v>
      </c>
      <c r="P39" s="27">
        <f>((O9+O11-O13-O26)/O8+(N9+N11-N13-N26)/N8+(M9+M11-M13-M26)/M8)/3</f>
        <v>0.20492267196572198</v>
      </c>
      <c r="Q39" s="27">
        <f>((P9+P11-P13-P26)/P8+(O9+O11-O13-O26)/O8+(N9+N11-N13-N26)/N8)/3</f>
        <v>0.2056530751929372</v>
      </c>
      <c r="R39" s="27">
        <f>((Q9+Q11-Q13-Q26)/Q8+(P9+P11-P13-P26)/P8+(O9+O11-O13-O26)/O8)/3</f>
        <v>0.20638284484935912</v>
      </c>
      <c r="S39" s="27">
        <f>((R9+R11-R13-R26)/R8+(Q9+Q11-Q13-Q26)/Q8+(P9+P11-P13-P26)/P8)/3</f>
        <v>0.20711198141583556</v>
      </c>
      <c r="T39" s="27">
        <f>((S9+S11-S13-S26)/S8+(R9+R11-R13-R26)/R8+(Q9+Q11-Q13-Q26)/Q8)/3</f>
        <v>0.20784048537297617</v>
      </c>
      <c r="U39" s="27">
        <f>((T9+T11-T13-T26)/T8+(S9+S11-S13-S26)/S8+(R9+R11-R13-R26)/R8)/3</f>
        <v>0.20856835720115222</v>
      </c>
      <c r="V39" s="27">
        <f>((U9+U11-U13-U26)/U8+(T9+T11-T13-T26)/T8+(S9+S11-S13-S26)/S8)/3</f>
        <v>0.2092955973804963</v>
      </c>
      <c r="W39" s="27">
        <f>((V9+V11-V13-V26)/V8+(U9+U11-U13-U26)/U8+(T9+T11-T13-T26)/T8)/3</f>
        <v>0.21002220639090263</v>
      </c>
      <c r="X39" s="27">
        <f>((W9+W11-W13-W26)/W8+(V9+V11-V13-V26)/V8+(U9+U11-U13-U26)/U8)/3</f>
        <v>0.21074818471202628</v>
      </c>
      <c r="Y39" s="27">
        <f>((X9+X11-X13-X26)/X8+(W9+W11-W13-W26)/W8+(V9+V11-V13-V26)/V8)/3</f>
        <v>0.21147353282328366</v>
      </c>
      <c r="Z39" s="27">
        <f>((Y9+Y11-Y13-Y26)/Y8+(X9+X11-X13-X26)/X8+(W9+W11-W13-W26)/W8)/3</f>
        <v>0.21219825120385202</v>
      </c>
      <c r="AA39" s="27">
        <f>((Z9+Z11-Z13-Z26)/Z8+(Y9+Y11-Y13-Y26)/Y8+(X9+X11-X13-X26)/X8)/3</f>
        <v>0.21292234033266952</v>
      </c>
    </row>
    <row r="40" spans="1:27" ht="12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12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0.09024719308204765</v>
      </c>
      <c r="H41" s="32">
        <f>SUM(H24-H55-H36+H16-zał2!G37)/H8</f>
        <v>0.09552068967311118</v>
      </c>
      <c r="I41" s="32">
        <f>SUM(I24-I55-I36+I16-zał2!H37)/I8</f>
        <v>0.09394821536541503</v>
      </c>
      <c r="J41" s="32">
        <f>SUM(J24-J55-J36+J16-zał2!I37)/J8</f>
        <v>0.057345801315771695</v>
      </c>
      <c r="K41" s="32">
        <f>SUM(K24-K55-K36+K16-zał2!J37)/K8</f>
        <v>0.052778311045810086</v>
      </c>
      <c r="L41" s="32">
        <f>SUM(L24-L55-L36+L16-zał2!K37)/L8</f>
        <v>0.04843335875925754</v>
      </c>
      <c r="M41" s="32">
        <f>SUM(M24-M55-M36+M16-zał2!L37)/M8</f>
        <v>0.044301700303986405</v>
      </c>
      <c r="N41" s="32">
        <f>SUM(N24-N55-N36+N16-zał2!M37)/N8</f>
        <v>0.04037451441184194</v>
      </c>
      <c r="O41" s="32">
        <f>SUM(O24-O55-O36+O16-zał2!N37)/O8</f>
        <v>0.03077387485369281</v>
      </c>
      <c r="P41" s="32">
        <f>SUM(P24-P55-P36+P16-zał2!O37)/P8</f>
        <v>0.014663968090805342</v>
      </c>
      <c r="Q41" s="32">
        <f>SUM(Q24-Q55-Q36+Q16-zał2!P37)/Q8</f>
        <v>0.013612429945863869</v>
      </c>
      <c r="R41" s="32">
        <f>SUM(R24-R55-R36+R16-zał2!Q37)/R8</f>
        <v>0.012610808188849089</v>
      </c>
      <c r="S41" s="32">
        <f>SUM(S24-S55-S36+S16-zał2!R37)/S8</f>
        <v>0.01165705365182211</v>
      </c>
      <c r="T41" s="32">
        <f>SUM(T24-T55-T36+T16-zał2!S37)/T8</f>
        <v>0.010749195206710062</v>
      </c>
      <c r="U41" s="32">
        <f>SUM(U24-U55-U36+U16-zał2!T37)/U8</f>
        <v>0.00988533692680802</v>
      </c>
      <c r="V41" s="32">
        <f>SUM(V24-V55-V36+V16-zał2!U37)/V8</f>
        <v>0.009063655348363214</v>
      </c>
      <c r="W41" s="32">
        <f>SUM(W24-W55-W36+W16-zał2!V37)/W8</f>
        <v>0.008282396828791054</v>
      </c>
      <c r="X41" s="32">
        <f>SUM(X24-X55-X36+X16-zał2!W37)/X8</f>
        <v>0.00753987499818942</v>
      </c>
      <c r="Y41" s="32">
        <f>SUM(Y24-Y55-Y36+Y16-zał2!X37)/Y8</f>
        <v>0.006834468300930824</v>
      </c>
      <c r="Z41" s="32">
        <f>SUM(Z24-Z55-Z36+Z16-zał2!Y37)/Z8</f>
        <v>0.006164315672086837</v>
      </c>
      <c r="AA41" s="32">
        <f>SUM(AA24-AA55-AA36+AA16-zał2!Z37)/AA8</f>
        <v>0.0024215306820585545</v>
      </c>
    </row>
    <row r="42" spans="1:27" ht="12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0.34312490166337334</v>
      </c>
      <c r="H42" s="27">
        <f>SUM(H34-H35)/H8</f>
        <v>0.37544318938786775</v>
      </c>
      <c r="I42" s="27">
        <f>SUM(I34-I35)/I8</f>
        <v>0.3216835154221836</v>
      </c>
      <c r="J42" s="27">
        <f>SUM(J34-J35)/J8</f>
        <v>0.27716975911503927</v>
      </c>
      <c r="K42" s="27">
        <f>SUM(K34-K35)/K8</f>
        <v>0.23503854879271083</v>
      </c>
      <c r="L42" s="27">
        <f>SUM(L34-L35)/L8</f>
        <v>0.19518696163803842</v>
      </c>
      <c r="M42" s="27">
        <f>SUM(M34-M35)/M8</f>
        <v>0.15751610674007496</v>
      </c>
      <c r="N42" s="27">
        <f>SUM(N34-N35)/N8</f>
        <v>0.12193090056744715</v>
      </c>
      <c r="O42" s="27">
        <f>SUM(O34-O35)/O8</f>
        <v>0.09494994026490146</v>
      </c>
      <c r="P42" s="27">
        <f>SUM(P34-P35)/P8</f>
        <v>0.08403480129128515</v>
      </c>
      <c r="Q42" s="27">
        <f>SUM(Q34-Q35)/Q8</f>
        <v>0.07368940517481361</v>
      </c>
      <c r="R42" s="27">
        <f>SUM(R34-R35)/R8</f>
        <v>0.06388938335239953</v>
      </c>
      <c r="S42" s="27">
        <f>SUM(S34-S35)/S8</f>
        <v>0.054611316801372434</v>
      </c>
      <c r="T42" s="27">
        <f>SUM(T34-T35)/T8</f>
        <v>0.04583270099394266</v>
      </c>
      <c r="U42" s="27">
        <f>SUM(U34-U35)/U8</f>
        <v>0.0375319120999235</v>
      </c>
      <c r="V42" s="27">
        <f>SUM(V34-V35)/V8</f>
        <v>0.029688174394354304</v>
      </c>
      <c r="W42" s="27">
        <f>SUM(W34-W35)/W8</f>
        <v>0.022281528828145925</v>
      </c>
      <c r="X42" s="27">
        <f>SUM(X34-X35)/X8</f>
        <v>0.015292802721297889</v>
      </c>
      <c r="Y42" s="27">
        <f>SUM(Y34-Y35)/Y8</f>
        <v>0.008703580539617272</v>
      </c>
      <c r="Z42" s="27">
        <f>SUM(Z34-Z35)/Z8</f>
        <v>0.0024964714076571525</v>
      </c>
      <c r="AA42" s="27">
        <f>SUM(AA34-AA35)/AA8</f>
        <v>1.03114848780144E-17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61292450.61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93055179.13</v>
      </c>
      <c r="H44" s="34">
        <f>SUM(H29,H43)</f>
        <v>56020472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15018883.805030003</v>
      </c>
      <c r="I45" s="34">
        <f>SUM(I8-I44)</f>
        <v>13424915.63098593</v>
      </c>
      <c r="J45" s="34">
        <f>SUM(J8-J44)</f>
        <v>13967511.630546495</v>
      </c>
      <c r="K45" s="34">
        <f>SUM(K8-K44)</f>
        <v>14453395.814543426</v>
      </c>
      <c r="L45" s="34">
        <f>SUM(L8-L44)</f>
        <v>14955929.147947766</v>
      </c>
      <c r="M45" s="34">
        <f>SUM(M8-M44)</f>
        <v>15475675.356582247</v>
      </c>
      <c r="N45" s="34">
        <f>SUM(N8-N44)</f>
        <v>16013217.06983585</v>
      </c>
      <c r="O45" s="34">
        <f>SUM(O8-O44)</f>
        <v>16569156.449516296</v>
      </c>
      <c r="P45" s="34">
        <f>SUM(P8-P44)</f>
        <v>17144115.839482307</v>
      </c>
      <c r="Q45" s="34">
        <f>SUM(Q8-Q44)</f>
        <v>17738738.436738178</v>
      </c>
      <c r="R45" s="34">
        <f>SUM(R8-R44)</f>
        <v>18353688.984695956</v>
      </c>
      <c r="S45" s="34">
        <f>SUM(S8-S44)</f>
        <v>18989654.48933299</v>
      </c>
      <c r="T45" s="34">
        <f>SUM(T8-T44)</f>
        <v>19647344.9589971</v>
      </c>
      <c r="U45" s="34">
        <f>SUM(U8-U44)</f>
        <v>20327494.168635666</v>
      </c>
      <c r="V45" s="34">
        <f>SUM(V8-V44)</f>
        <v>21030860.44925031</v>
      </c>
      <c r="W45" s="34">
        <f>SUM(W8-W44)</f>
        <v>21758227.5034056</v>
      </c>
      <c r="X45" s="34">
        <f>SUM(X8-X44)</f>
        <v>22510405.247646555</v>
      </c>
      <c r="Y45" s="34">
        <f>SUM(Y8-Y44)</f>
        <v>23288230.68270807</v>
      </c>
      <c r="Z45" s="34">
        <f>SUM(Z8-Z44)</f>
        <v>24092568.792428</v>
      </c>
      <c r="AA45" s="34">
        <f>SUM(AA8-AA44)</f>
        <v>24924313.472305954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15768883.805030003</v>
      </c>
      <c r="J46" s="34">
        <f>SUM(J31,J20)</f>
        <v>14174915.63098593</v>
      </c>
      <c r="K46" s="34">
        <f>SUM(K31,K20)</f>
        <v>14717511.630546495</v>
      </c>
      <c r="L46" s="34">
        <f>SUM(L31,L20)</f>
        <v>15203395.814543426</v>
      </c>
      <c r="M46" s="34">
        <f>SUM(M31,M20)</f>
        <v>15705929.147947766</v>
      </c>
      <c r="N46" s="34">
        <f>SUM(N31,N20)</f>
        <v>16225675.356582247</v>
      </c>
      <c r="O46" s="34">
        <f>SUM(O31,O20)</f>
        <v>16763217.06983585</v>
      </c>
      <c r="P46" s="34">
        <f>SUM(P31,P20)</f>
        <v>17319156.449516296</v>
      </c>
      <c r="Q46" s="34">
        <f>SUM(Q31,Q20)</f>
        <v>17894115.839482307</v>
      </c>
      <c r="R46" s="34">
        <f>SUM(R31,R20)</f>
        <v>18488738.436738178</v>
      </c>
      <c r="S46" s="34">
        <f>SUM(S31,S20)</f>
        <v>19103688.984695956</v>
      </c>
      <c r="T46" s="34">
        <f>SUM(T31,T20)</f>
        <v>19739654.48933299</v>
      </c>
      <c r="U46" s="34">
        <f>SUM(U31,U20)</f>
        <v>20397344.9589971</v>
      </c>
      <c r="V46" s="34">
        <f>SUM(V31,V20)</f>
        <v>21077494.168635666</v>
      </c>
      <c r="W46" s="34">
        <f>SUM(W31,W20)</f>
        <v>21780860.44925031</v>
      </c>
      <c r="X46" s="34">
        <f>SUM(X31,X20)</f>
        <v>22508227.5034056</v>
      </c>
      <c r="Y46" s="34">
        <f>SUM(Y31,Y20)</f>
        <v>23260405.247646555</v>
      </c>
      <c r="Z46" s="34">
        <f>SUM(Z31,Z20)</f>
        <v>24038230.68270807</v>
      </c>
      <c r="AA46" s="34">
        <f>SUM(AA31,AA20)</f>
        <v>24842568.792428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61292450.61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58892450.61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15018883.805030003</v>
      </c>
      <c r="I60" s="43">
        <f>zał2!H15</f>
        <v>13424915.63098593</v>
      </c>
      <c r="J60" s="43">
        <f>zał2!I15</f>
        <v>13967511.630546495</v>
      </c>
      <c r="K60" s="43">
        <f>zał2!J15</f>
        <v>14453395.814543426</v>
      </c>
      <c r="L60" s="43">
        <f>zał2!K15</f>
        <v>14955929.147947766</v>
      </c>
      <c r="M60" s="43">
        <f>zał2!L15</f>
        <v>15475675.356582247</v>
      </c>
      <c r="N60" s="43">
        <f>zał2!M15</f>
        <v>16013217.06983585</v>
      </c>
      <c r="O60" s="43">
        <f>zał2!N15</f>
        <v>16569156.449516296</v>
      </c>
      <c r="P60" s="43">
        <f>zał2!O15</f>
        <v>17144115.839482307</v>
      </c>
      <c r="Q60" s="43">
        <f>zał2!P15</f>
        <v>17738738.436738178</v>
      </c>
      <c r="R60" s="43">
        <f>zał2!Q15</f>
        <v>18353688.984695956</v>
      </c>
      <c r="S60" s="43">
        <f>zał2!R15</f>
        <v>18989654.48933299</v>
      </c>
      <c r="T60" s="43">
        <f>zał2!S15</f>
        <v>19647344.9589971</v>
      </c>
      <c r="U60" s="43">
        <f>zał2!T15</f>
        <v>20327494.168635666</v>
      </c>
      <c r="V60" s="43">
        <f>zał2!U15</f>
        <v>21030860.44925031</v>
      </c>
      <c r="W60" s="43">
        <f>zał2!V15</f>
        <v>21758227.5034056</v>
      </c>
      <c r="X60" s="43">
        <f>zał2!W15</f>
        <v>22510405.247646555</v>
      </c>
      <c r="Y60" s="43">
        <f>zał2!X15</f>
        <v>23288230.68270807</v>
      </c>
      <c r="Z60" s="43">
        <f>zał2!Y15</f>
        <v>24092568.792428</v>
      </c>
      <c r="AA60" s="43">
        <f>zał2!Z15</f>
        <v>24924313.472305954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12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15768883.805030003</v>
      </c>
      <c r="J62" s="45">
        <f>SUM(I60+J61)</f>
        <v>14174915.63098593</v>
      </c>
      <c r="K62" s="45">
        <f>SUM(J60+K61)</f>
        <v>14717511.630546495</v>
      </c>
      <c r="L62" s="45">
        <f>SUM(K60+L61)</f>
        <v>15203395.814543426</v>
      </c>
      <c r="M62" s="45">
        <f>SUM(L60+M61)</f>
        <v>15705929.147947766</v>
      </c>
      <c r="N62" s="45">
        <f>SUM(M60+N61)</f>
        <v>16225675.356582247</v>
      </c>
      <c r="O62" s="45">
        <f>SUM(N60+O61)</f>
        <v>16763217.06983585</v>
      </c>
      <c r="P62" s="45">
        <f>SUM(O60+P61)</f>
        <v>17319156.449516296</v>
      </c>
      <c r="Q62" s="45">
        <f>SUM(P60+Q61)</f>
        <v>17894115.839482307</v>
      </c>
      <c r="R62" s="45">
        <f>SUM(Q60+R61)</f>
        <v>18488738.436738178</v>
      </c>
      <c r="S62" s="45">
        <f>SUM(R60+S61)</f>
        <v>19103688.984695956</v>
      </c>
      <c r="T62" s="45">
        <f>SUM(S60+T61)</f>
        <v>19739654.48933299</v>
      </c>
      <c r="U62" s="45">
        <f>SUM(T60+U61)</f>
        <v>20397344.9589971</v>
      </c>
      <c r="V62" s="45">
        <f>SUM(U60+V61)</f>
        <v>21077494.168635666</v>
      </c>
      <c r="W62" s="45">
        <f>SUM(V60+W61)</f>
        <v>21780860.44925031</v>
      </c>
      <c r="X62" s="45">
        <f>SUM(W60+X61)</f>
        <v>22508227.5034056</v>
      </c>
      <c r="Y62" s="45">
        <f>SUM(X60+Y61)</f>
        <v>23260405.247646555</v>
      </c>
      <c r="Z62" s="45">
        <f>SUM(Y60+Z61)</f>
        <v>24038230.68270807</v>
      </c>
      <c r="AA62" s="45">
        <f>SUM(Z60+AA61)</f>
        <v>24842568.792428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C78" sqref="C78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3" width="13.57421875" style="0" customWidth="1"/>
    <col min="4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4" t="s">
        <v>388</v>
      </c>
    </row>
    <row r="2" spans="2:6" ht="13.5" customHeight="1">
      <c r="B2" s="145" t="s">
        <v>389</v>
      </c>
      <c r="C2" s="295" t="s">
        <v>390</v>
      </c>
      <c r="D2" s="295"/>
      <c r="E2" s="296" t="s">
        <v>391</v>
      </c>
      <c r="F2" s="296"/>
    </row>
    <row r="3" spans="2:24" ht="18" customHeight="1">
      <c r="B3" s="297" t="s">
        <v>392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ht="8.25" customHeight="1">
      <c r="C4" s="194"/>
    </row>
    <row r="5" spans="2:24" ht="60.75" customHeight="1">
      <c r="B5" s="299" t="s">
        <v>3</v>
      </c>
      <c r="C5" s="300" t="s">
        <v>393</v>
      </c>
      <c r="D5" s="301" t="s">
        <v>394</v>
      </c>
      <c r="E5" s="300" t="s">
        <v>395</v>
      </c>
      <c r="F5" s="300" t="s">
        <v>396</v>
      </c>
      <c r="G5" s="300" t="s">
        <v>397</v>
      </c>
      <c r="H5" s="300" t="s">
        <v>398</v>
      </c>
      <c r="I5" s="300" t="s">
        <v>399</v>
      </c>
      <c r="J5" s="300" t="s">
        <v>400</v>
      </c>
      <c r="K5" s="300" t="s">
        <v>401</v>
      </c>
      <c r="L5" s="300" t="s">
        <v>402</v>
      </c>
      <c r="M5" s="300" t="s">
        <v>403</v>
      </c>
      <c r="N5" s="300" t="s">
        <v>404</v>
      </c>
      <c r="O5" s="300" t="s">
        <v>405</v>
      </c>
      <c r="P5" s="300" t="s">
        <v>406</v>
      </c>
      <c r="Q5" s="300" t="s">
        <v>407</v>
      </c>
      <c r="R5" s="300" t="s">
        <v>408</v>
      </c>
      <c r="S5" s="300" t="s">
        <v>409</v>
      </c>
      <c r="T5" s="300" t="s">
        <v>410</v>
      </c>
      <c r="U5" s="300" t="s">
        <v>411</v>
      </c>
      <c r="V5" s="300" t="s">
        <v>412</v>
      </c>
      <c r="W5" s="300" t="s">
        <v>413</v>
      </c>
      <c r="X5" s="300" t="s">
        <v>414</v>
      </c>
    </row>
    <row r="6" spans="2:24" ht="30.75" customHeight="1">
      <c r="B6" s="302" t="s">
        <v>415</v>
      </c>
      <c r="C6" s="303">
        <f>C7+C8</f>
        <v>72674133.27</v>
      </c>
      <c r="D6" s="303">
        <f>D7+D8</f>
        <v>91251414.13</v>
      </c>
      <c r="E6" s="303">
        <f>E7+E8</f>
        <v>71039355.80503</v>
      </c>
      <c r="F6" s="303">
        <f>F7+F8</f>
        <v>68489214.63098593</v>
      </c>
      <c r="G6" s="303">
        <f>G7+G8</f>
        <v>70608739.6005465</v>
      </c>
      <c r="H6" s="303">
        <f>H7+H8</f>
        <v>72793860.62364343</v>
      </c>
      <c r="I6" s="303">
        <f>I7+I8</f>
        <v>75046607.90132077</v>
      </c>
      <c r="J6" s="303">
        <f>J7+J8</f>
        <v>77369074.47255644</v>
      </c>
      <c r="K6" s="303">
        <f>K7+K8</f>
        <v>79763418.15928927</v>
      </c>
      <c r="L6" s="303">
        <f>L7+L8</f>
        <v>82231863.57165332</v>
      </c>
      <c r="M6" s="303">
        <f>M7+M8</f>
        <v>84776704.17528345</v>
      </c>
      <c r="N6" s="303">
        <f>N7+N8</f>
        <v>87400304.42261335</v>
      </c>
      <c r="O6" s="303">
        <f>O7+O8</f>
        <v>90105101.95014738</v>
      </c>
      <c r="P6" s="303">
        <f>P7+P8</f>
        <v>92893609.84374794</v>
      </c>
      <c r="Q6" s="303">
        <f>Q7+Q8</f>
        <v>95768418.97404452</v>
      </c>
      <c r="R6" s="303">
        <f>R7+R8</f>
        <v>98732200.4041345</v>
      </c>
      <c r="S6" s="303">
        <f>S7+S8</f>
        <v>101787707.8718141</v>
      </c>
      <c r="T6" s="303">
        <f>T7+T8</f>
        <v>104937780.34864631</v>
      </c>
      <c r="U6" s="303">
        <f>U7+U8</f>
        <v>108185344.67824449</v>
      </c>
      <c r="V6" s="303">
        <f>V7+V8</f>
        <v>111533418.29622394</v>
      </c>
      <c r="W6" s="303">
        <f>W7+W8</f>
        <v>114985112.03434935</v>
      </c>
      <c r="X6" s="303">
        <f>X7+X8</f>
        <v>118543633.01148494</v>
      </c>
    </row>
    <row r="7" spans="2:24" ht="20.25" customHeight="1">
      <c r="B7" s="304" t="s">
        <v>416</v>
      </c>
      <c r="C7" s="305">
        <f>zał2!E9</f>
        <v>61924678.14</v>
      </c>
      <c r="D7" s="305">
        <f>zał2!F9</f>
        <v>61007441.13</v>
      </c>
      <c r="E7" s="305">
        <f>zał2!G9</f>
        <v>62898671.80503</v>
      </c>
      <c r="F7" s="305">
        <f>zał2!H9</f>
        <v>64848530.63098593</v>
      </c>
      <c r="G7" s="305">
        <f>zał2!I9</f>
        <v>66858835.08054649</v>
      </c>
      <c r="H7" s="305">
        <f>zał2!J9</f>
        <v>68931458.96804343</v>
      </c>
      <c r="I7" s="305">
        <f>zał2!K9</f>
        <v>71068334.19605277</v>
      </c>
      <c r="J7" s="305">
        <f>zał2!L9</f>
        <v>73271452.55613041</v>
      </c>
      <c r="K7" s="305">
        <f>zał2!M9</f>
        <v>75542867.58537045</v>
      </c>
      <c r="L7" s="305">
        <f>zał2!N9</f>
        <v>77884696.48051694</v>
      </c>
      <c r="M7" s="305">
        <f>zał2!O9</f>
        <v>80299122.07141297</v>
      </c>
      <c r="N7" s="305">
        <f>zał2!P9</f>
        <v>82788394.85562676</v>
      </c>
      <c r="O7" s="305">
        <f>zał2!Q9</f>
        <v>85354835.09615119</v>
      </c>
      <c r="P7" s="305">
        <f>zał2!R9</f>
        <v>88000834.98413187</v>
      </c>
      <c r="Q7" s="305">
        <f>zał2!S9</f>
        <v>90728860.86863996</v>
      </c>
      <c r="R7" s="305">
        <f>zał2!T9</f>
        <v>93541455.5555678</v>
      </c>
      <c r="S7" s="305">
        <f>zał2!U9</f>
        <v>96441240.6777904</v>
      </c>
      <c r="T7" s="305">
        <f>zał2!V9</f>
        <v>99430919.1388019</v>
      </c>
      <c r="U7" s="305">
        <f>zał2!W9</f>
        <v>102513277.63210475</v>
      </c>
      <c r="V7" s="305">
        <f>zał2!X9</f>
        <v>105691189.2387</v>
      </c>
      <c r="W7" s="305">
        <f>zał2!Y9</f>
        <v>108967616.10509971</v>
      </c>
      <c r="X7" s="305">
        <f>zał2!Z9</f>
        <v>112345612.2043578</v>
      </c>
    </row>
    <row r="8" spans="2:27" ht="22.5" customHeight="1">
      <c r="B8" s="304" t="s">
        <v>417</v>
      </c>
      <c r="C8" s="305">
        <f>zał2!E10</f>
        <v>10749455.13</v>
      </c>
      <c r="D8" s="305">
        <f>zał2!F10</f>
        <v>30243973</v>
      </c>
      <c r="E8" s="305">
        <f>zał2!G10</f>
        <v>8140684</v>
      </c>
      <c r="F8" s="305">
        <f>zał2!H10</f>
        <v>3640684</v>
      </c>
      <c r="G8" s="305">
        <f>zał2!I10</f>
        <v>3749904.52</v>
      </c>
      <c r="H8" s="305">
        <f>zał2!J10</f>
        <v>3862401.6556</v>
      </c>
      <c r="I8" s="305">
        <f>zał2!K10</f>
        <v>3978273.7052680003</v>
      </c>
      <c r="J8" s="305">
        <f>zał2!L10</f>
        <v>4097621.91642604</v>
      </c>
      <c r="K8" s="305">
        <f>zał2!M10</f>
        <v>4220550.573918821</v>
      </c>
      <c r="L8" s="305">
        <f>zał2!N10</f>
        <v>4347167.091136386</v>
      </c>
      <c r="M8" s="305">
        <f>zał2!O10</f>
        <v>4477582.1038704775</v>
      </c>
      <c r="N8" s="305">
        <f>zał2!P10</f>
        <v>4611909.566986592</v>
      </c>
      <c r="O8" s="305">
        <f>zał2!Q10</f>
        <v>4750266.853996189</v>
      </c>
      <c r="P8" s="305">
        <f>zał2!R10</f>
        <v>4892774.859616075</v>
      </c>
      <c r="Q8" s="305">
        <f>zał2!S10</f>
        <v>5039558.105404557</v>
      </c>
      <c r="R8" s="305">
        <f>zał2!T10</f>
        <v>5190744.848566693</v>
      </c>
      <c r="S8" s="305">
        <f>zał2!U10</f>
        <v>5346467.194023694</v>
      </c>
      <c r="T8" s="305">
        <f>zał2!V10</f>
        <v>5506861.209844405</v>
      </c>
      <c r="U8" s="305">
        <f>zał2!W10</f>
        <v>5672067.046139737</v>
      </c>
      <c r="V8" s="305">
        <f>zał2!X10</f>
        <v>5842229.057523929</v>
      </c>
      <c r="W8" s="305">
        <f>zał2!Y10</f>
        <v>6017495.929249646</v>
      </c>
      <c r="X8" s="305">
        <f>zał2!Z10</f>
        <v>6198020.807127136</v>
      </c>
      <c r="Y8" s="236"/>
      <c r="Z8" s="236"/>
      <c r="AA8" s="236"/>
    </row>
    <row r="9" spans="2:24" ht="26.25" customHeight="1">
      <c r="B9" s="304" t="s">
        <v>418</v>
      </c>
      <c r="C9" s="305">
        <f>zał2!E11</f>
        <v>1643757.32</v>
      </c>
      <c r="D9" s="305">
        <f>zał2!F11</f>
        <v>5964000</v>
      </c>
      <c r="E9" s="305">
        <f>zał2!G11</f>
        <v>6000000</v>
      </c>
      <c r="F9" s="305">
        <f>zał2!H11</f>
        <v>1500000</v>
      </c>
      <c r="G9" s="305">
        <f>zał2!I11</f>
        <v>1545000</v>
      </c>
      <c r="H9" s="305">
        <f>zał2!J11</f>
        <v>1591350</v>
      </c>
      <c r="I9" s="305">
        <f>zał2!K11</f>
        <v>1639090.5</v>
      </c>
      <c r="J9" s="305">
        <f>zał2!L11</f>
        <v>1688263.215</v>
      </c>
      <c r="K9" s="305">
        <f>zał2!M11</f>
        <v>1738911.1114500002</v>
      </c>
      <c r="L9" s="305">
        <f>zał2!N11</f>
        <v>1791078.4447935002</v>
      </c>
      <c r="M9" s="305">
        <f>zał2!O11</f>
        <v>1844810.7981373053</v>
      </c>
      <c r="N9" s="305">
        <f>zał2!P11</f>
        <v>1900155.1220814246</v>
      </c>
      <c r="O9" s="305">
        <f>zał2!Q11</f>
        <v>1957159.7757438673</v>
      </c>
      <c r="P9" s="305">
        <f>zał2!R11</f>
        <v>2015874.5690161833</v>
      </c>
      <c r="Q9" s="305">
        <f>zał2!S11</f>
        <v>2076350.8060866687</v>
      </c>
      <c r="R9" s="305">
        <f>zał2!T11</f>
        <v>2138641.3302692687</v>
      </c>
      <c r="S9" s="305">
        <f>zał2!U11</f>
        <v>2202800.570177347</v>
      </c>
      <c r="T9" s="305">
        <f>zał2!V11</f>
        <v>2268884.5872826674</v>
      </c>
      <c r="U9" s="305">
        <f>zał2!W11</f>
        <v>2336951.1249011476</v>
      </c>
      <c r="V9" s="305">
        <f>zał2!X11</f>
        <v>2407059.658648182</v>
      </c>
      <c r="W9" s="305">
        <f>zał2!Y11</f>
        <v>2479271.4484076276</v>
      </c>
      <c r="X9" s="305">
        <f>zał2!Z11</f>
        <v>2553649.5918598566</v>
      </c>
    </row>
    <row r="10" spans="2:24" ht="25.5" customHeight="1">
      <c r="B10" s="302" t="s">
        <v>419</v>
      </c>
      <c r="C10" s="303" t="e">
        <f>C11+C13</f>
        <v>#REF!</v>
      </c>
      <c r="D10" s="303">
        <f>D11+D13</f>
        <v>93055179.13</v>
      </c>
      <c r="E10" s="303">
        <f>E11+E13</f>
        <v>56020472</v>
      </c>
      <c r="F10" s="303">
        <f>F11+F13</f>
        <v>55064299</v>
      </c>
      <c r="G10" s="303">
        <f>G11+G13</f>
        <v>56641227.97</v>
      </c>
      <c r="H10" s="303">
        <f>H11+H13</f>
        <v>58340464.8091</v>
      </c>
      <c r="I10" s="303">
        <f>I11+I13</f>
        <v>60090678.753373004</v>
      </c>
      <c r="J10" s="303">
        <f>J11+J13</f>
        <v>61893399.115974195</v>
      </c>
      <c r="K10" s="303">
        <f>K11+K13</f>
        <v>63750201.08945342</v>
      </c>
      <c r="L10" s="303">
        <f>L11+L13</f>
        <v>65662707.122137025</v>
      </c>
      <c r="M10" s="303">
        <f>M11+M13</f>
        <v>67632588.33580114</v>
      </c>
      <c r="N10" s="303">
        <f>N11+N13</f>
        <v>69661565.98587517</v>
      </c>
      <c r="O10" s="303">
        <f>O11+O13</f>
        <v>71751412.96545142</v>
      </c>
      <c r="P10" s="303">
        <f>P11+P13</f>
        <v>73903955.35441495</v>
      </c>
      <c r="Q10" s="303">
        <f>Q11+Q13</f>
        <v>76121074.01504742</v>
      </c>
      <c r="R10" s="303">
        <f>R11+R13</f>
        <v>78404706.23549883</v>
      </c>
      <c r="S10" s="303">
        <f>S11+S13</f>
        <v>80756847.42256379</v>
      </c>
      <c r="T10" s="303">
        <f>T11+T13</f>
        <v>83179552.84524071</v>
      </c>
      <c r="U10" s="303">
        <f>U11+U13</f>
        <v>85674939.43059793</v>
      </c>
      <c r="V10" s="303">
        <f>V11+V13</f>
        <v>88245187.61351587</v>
      </c>
      <c r="W10" s="303">
        <f>W11+W13</f>
        <v>90892543.24192135</v>
      </c>
      <c r="X10" s="303">
        <f>X11+X13</f>
        <v>93619319.53917898</v>
      </c>
    </row>
    <row r="11" spans="2:24" ht="21" customHeight="1">
      <c r="B11" s="304" t="s">
        <v>420</v>
      </c>
      <c r="C11" s="306">
        <f>zał2!E13</f>
        <v>54856635.79</v>
      </c>
      <c r="D11" s="306">
        <f>zał2!F13</f>
        <v>61292450.61</v>
      </c>
      <c r="E11" s="306">
        <f>zał2!G13</f>
        <v>51033300</v>
      </c>
      <c r="F11" s="306">
        <f>zał2!H13</f>
        <v>52564299</v>
      </c>
      <c r="G11" s="306">
        <f>zał2!I13</f>
        <v>54141227.97</v>
      </c>
      <c r="H11" s="306">
        <f>zał2!J13</f>
        <v>55765464.8091</v>
      </c>
      <c r="I11" s="306">
        <f>zał2!K13</f>
        <v>57438428.753373004</v>
      </c>
      <c r="J11" s="306">
        <f>zał2!L13</f>
        <v>59161581.615974195</v>
      </c>
      <c r="K11" s="306">
        <f>zał2!M13</f>
        <v>60936429.06445342</v>
      </c>
      <c r="L11" s="306">
        <f>zał2!N13</f>
        <v>62764521.936387025</v>
      </c>
      <c r="M11" s="306">
        <f>zał2!O13</f>
        <v>64647457.59447864</v>
      </c>
      <c r="N11" s="306">
        <f>zał2!P13</f>
        <v>66586881.322312996</v>
      </c>
      <c r="O11" s="306">
        <f>zał2!Q13</f>
        <v>68584487.76198238</v>
      </c>
      <c r="P11" s="306">
        <f>zał2!R13</f>
        <v>70642022.39484185</v>
      </c>
      <c r="Q11" s="306">
        <f>zał2!S13</f>
        <v>72761283.0666871</v>
      </c>
      <c r="R11" s="306">
        <f>zał2!T13</f>
        <v>74944121.55868772</v>
      </c>
      <c r="S11" s="306">
        <f>zał2!U13</f>
        <v>77192445.20544834</v>
      </c>
      <c r="T11" s="306">
        <f>zał2!V13</f>
        <v>79508218.5616118</v>
      </c>
      <c r="U11" s="306">
        <f>zał2!W13</f>
        <v>81893465.11846015</v>
      </c>
      <c r="V11" s="306">
        <f>zał2!X13</f>
        <v>84350269.07201396</v>
      </c>
      <c r="W11" s="306">
        <f>zał2!Y13</f>
        <v>86880777.14417438</v>
      </c>
      <c r="X11" s="306">
        <f>zał2!Z13</f>
        <v>89487200.45849961</v>
      </c>
    </row>
    <row r="12" spans="2:24" ht="21" customHeight="1">
      <c r="B12" s="304" t="s">
        <v>421</v>
      </c>
      <c r="C12" s="307" t="e">
        <f>C78</f>
        <v>#REF!</v>
      </c>
      <c r="D12" s="307">
        <f>D78</f>
        <v>2400000</v>
      </c>
      <c r="E12" s="307">
        <f>E78</f>
        <v>2146338.07593</v>
      </c>
      <c r="F12" s="307">
        <f>F78</f>
        <v>1795048.5018600002</v>
      </c>
      <c r="G12" s="307">
        <f>G78</f>
        <v>1587870.7677900002</v>
      </c>
      <c r="H12" s="307">
        <f>H78</f>
        <v>1380693.0337200004</v>
      </c>
      <c r="I12" s="307">
        <f>I78</f>
        <v>1173515.2996500004</v>
      </c>
      <c r="J12" s="307">
        <f>J78</f>
        <v>966337.5655800004</v>
      </c>
      <c r="K12" s="307">
        <f>K78</f>
        <v>759159.2915100005</v>
      </c>
      <c r="L12" s="307">
        <f>L78</f>
        <v>612878.2040400004</v>
      </c>
      <c r="M12" s="307">
        <f>M78</f>
        <v>559445.8403700005</v>
      </c>
      <c r="N12" s="307">
        <f>N78</f>
        <v>506013.47670000046</v>
      </c>
      <c r="O12" s="307">
        <f>O78</f>
        <v>452581.1130300004</v>
      </c>
      <c r="P12" s="307">
        <f>P78</f>
        <v>399148.7493600004</v>
      </c>
      <c r="Q12" s="307">
        <f>Q78</f>
        <v>345716.3856900004</v>
      </c>
      <c r="R12" s="307">
        <f>R78</f>
        <v>292284.0220200004</v>
      </c>
      <c r="S12" s="307">
        <f>S78</f>
        <v>238851.65835000036</v>
      </c>
      <c r="T12" s="307">
        <f>T78</f>
        <v>185419.29468000037</v>
      </c>
      <c r="U12" s="307">
        <f>U78</f>
        <v>131986.93101000038</v>
      </c>
      <c r="V12" s="307">
        <f>V78</f>
        <v>78554.56734000039</v>
      </c>
      <c r="W12" s="307">
        <f>W78</f>
        <v>25121.48367000038</v>
      </c>
      <c r="X12" s="307">
        <f>X78</f>
        <v>0</v>
      </c>
    </row>
    <row r="13" spans="2:24" ht="22.5" customHeight="1">
      <c r="B13" s="304" t="s">
        <v>422</v>
      </c>
      <c r="C13" s="18" t="e">
        <f>zał1!#REF!</f>
        <v>#REF!</v>
      </c>
      <c r="D13" s="306">
        <f>zał2!F14</f>
        <v>31762728.52</v>
      </c>
      <c r="E13" s="306">
        <f>zał2!G14</f>
        <v>4987172</v>
      </c>
      <c r="F13" s="306">
        <f>zał2!H14</f>
        <v>2500000</v>
      </c>
      <c r="G13" s="306">
        <f>zał2!I14</f>
        <v>2500000</v>
      </c>
      <c r="H13" s="306">
        <f>zał2!J14</f>
        <v>2575000</v>
      </c>
      <c r="I13" s="306">
        <f>zał2!K14</f>
        <v>2652250</v>
      </c>
      <c r="J13" s="306">
        <f>zał2!L14</f>
        <v>2731817.5</v>
      </c>
      <c r="K13" s="306">
        <f>zał2!M14</f>
        <v>2813772.025</v>
      </c>
      <c r="L13" s="306">
        <f>zał2!N14</f>
        <v>2898185.1857499997</v>
      </c>
      <c r="M13" s="306">
        <f>zał2!O14</f>
        <v>2985130.7413224997</v>
      </c>
      <c r="N13" s="306">
        <f>zał2!P14</f>
        <v>3074684.663562175</v>
      </c>
      <c r="O13" s="306">
        <f>zał2!Q14</f>
        <v>3166925.2034690403</v>
      </c>
      <c r="P13" s="306">
        <f>zał2!R14</f>
        <v>3261932.9595731115</v>
      </c>
      <c r="Q13" s="306">
        <f>zał2!S14</f>
        <v>3359790.948360305</v>
      </c>
      <c r="R13" s="306">
        <f>zał2!T14</f>
        <v>3460584.676811114</v>
      </c>
      <c r="S13" s="306">
        <f>zał2!U14</f>
        <v>3564402.2171154474</v>
      </c>
      <c r="T13" s="306">
        <f>zał2!V14</f>
        <v>3671334.283628911</v>
      </c>
      <c r="U13" s="306">
        <f>zał2!W14</f>
        <v>3781474.312137778</v>
      </c>
      <c r="V13" s="306">
        <f>zał2!X14</f>
        <v>3894918.5415019114</v>
      </c>
      <c r="W13" s="306">
        <f>zał2!Y14</f>
        <v>4011766.0977469687</v>
      </c>
      <c r="X13" s="306">
        <f>zał2!Z14</f>
        <v>4132119.080679378</v>
      </c>
    </row>
    <row r="14" spans="2:24" ht="25.5" customHeight="1">
      <c r="B14" s="302" t="s">
        <v>423</v>
      </c>
      <c r="C14" s="303" t="e">
        <f>C6-C10</f>
        <v>#REF!</v>
      </c>
      <c r="D14" s="303">
        <f>D6-D10</f>
        <v>-1803765</v>
      </c>
      <c r="E14" s="303">
        <f>E6-E10</f>
        <v>15018883.805030003</v>
      </c>
      <c r="F14" s="303">
        <f>F6-F10</f>
        <v>13424915.63098593</v>
      </c>
      <c r="G14" s="303">
        <f>G6-G10</f>
        <v>13967511.630546495</v>
      </c>
      <c r="H14" s="303">
        <f>H6-H10</f>
        <v>14453395.814543426</v>
      </c>
      <c r="I14" s="303">
        <f>I6-I10</f>
        <v>14955929.147947766</v>
      </c>
      <c r="J14" s="303">
        <f>J6-J10</f>
        <v>15475675.356582247</v>
      </c>
      <c r="K14" s="303">
        <f>K6-K10</f>
        <v>16013217.06983585</v>
      </c>
      <c r="L14" s="303">
        <f>L6-L10</f>
        <v>16569156.449516296</v>
      </c>
      <c r="M14" s="303">
        <f>M6-M10</f>
        <v>17144115.839482307</v>
      </c>
      <c r="N14" s="303">
        <f>N6-N10</f>
        <v>17738738.436738178</v>
      </c>
      <c r="O14" s="303">
        <f>O6-O10</f>
        <v>18353688.984695956</v>
      </c>
      <c r="P14" s="303">
        <f>P6-P10</f>
        <v>18989654.48933299</v>
      </c>
      <c r="Q14" s="303">
        <f>Q6-Q10</f>
        <v>19647344.9589971</v>
      </c>
      <c r="R14" s="303">
        <f>R6-R10</f>
        <v>20327494.168635666</v>
      </c>
      <c r="S14" s="303">
        <f>S6-S10</f>
        <v>21030860.44925031</v>
      </c>
      <c r="T14" s="303">
        <f>T6-T10</f>
        <v>21758227.5034056</v>
      </c>
      <c r="U14" s="303">
        <f>U6-U10</f>
        <v>22510405.247646555</v>
      </c>
      <c r="V14" s="303">
        <f>V6-V10</f>
        <v>23288230.68270807</v>
      </c>
      <c r="W14" s="303">
        <f>W6-W10</f>
        <v>24092568.792428</v>
      </c>
      <c r="X14" s="303">
        <f>X6-X10</f>
        <v>24924313.472305954</v>
      </c>
    </row>
    <row r="15" spans="2:24" ht="25.5" customHeight="1">
      <c r="B15" s="302" t="s">
        <v>424</v>
      </c>
      <c r="C15" s="303">
        <f>SUM(C16,C20,C26,C30,C33)</f>
        <v>9049134</v>
      </c>
      <c r="D15" s="303">
        <f>SUM(D16,D20,D26,D30,D33)</f>
        <v>10673140.89</v>
      </c>
      <c r="E15" s="303">
        <f>SUM(E16,E20,E26,E30,E33)</f>
        <v>9001163.51043</v>
      </c>
      <c r="F15" s="303">
        <f>SUM(F16,F20,F26,F30,F33)</f>
        <v>7649874.73636</v>
      </c>
      <c r="G15" s="303">
        <f>SUM(G16,G20,G26,G30,G33)</f>
        <v>5040833.00229</v>
      </c>
      <c r="H15" s="303">
        <f>SUM(H16,H20,H26,H30,H33)</f>
        <v>4833655.26822</v>
      </c>
      <c r="I15" s="303">
        <f>SUM(I16,I20,I26,I30,I33)</f>
        <v>4626477.534150001</v>
      </c>
      <c r="J15" s="303">
        <f>SUM(J16,J20,J26,J30,J33)</f>
        <v>4419299.80008</v>
      </c>
      <c r="K15" s="303">
        <f>SUM(K16,K20,K26,K30,K33)</f>
        <v>4212130.52601</v>
      </c>
      <c r="L15" s="303">
        <f>SUM(L16,L20,L26,L30,L33)</f>
        <v>3050896.3285400006</v>
      </c>
      <c r="M15" s="303">
        <f>SUM(M16,M20,M26,M30,M33)</f>
        <v>1449985.2348700005</v>
      </c>
      <c r="N15" s="303">
        <f>SUM(N16,N20,N26,N30,N33)</f>
        <v>1396552.8712000004</v>
      </c>
      <c r="O15" s="303">
        <f>SUM(O16,O20,O26,O30,O33)</f>
        <v>1343120.5075300005</v>
      </c>
      <c r="P15" s="303">
        <f>SUM(P16,P20,P26,P30,P33)</f>
        <v>1289688.1438600004</v>
      </c>
      <c r="Q15" s="303">
        <f>SUM(Q16,Q20,Q26,Q30,Q33)</f>
        <v>1236255.7801900003</v>
      </c>
      <c r="R15" s="303">
        <f>SUM(R16,R20,R26,R30,R33)</f>
        <v>1182823.4165200004</v>
      </c>
      <c r="S15" s="303">
        <f>SUM(S16,S20,S26,S30,S33)</f>
        <v>1129391.0528500006</v>
      </c>
      <c r="T15" s="303">
        <f>SUM(T16,T20,T26,T30,T33)</f>
        <v>1075958.6891800005</v>
      </c>
      <c r="U15" s="303">
        <f>SUM(U16,U20,U26,U30,U33)</f>
        <v>1022526.3255100005</v>
      </c>
      <c r="V15" s="303">
        <f>SUM(V16,V20,V26,V30,V33)</f>
        <v>969093.9618400005</v>
      </c>
      <c r="W15" s="303">
        <f>SUM(W16,W20,W26,W30,W33)</f>
        <v>915672.8781700004</v>
      </c>
      <c r="X15" s="303">
        <f>SUM(X16,X20,X26,X30,X33)</f>
        <v>418691.39450000005</v>
      </c>
    </row>
    <row r="16" spans="2:24" ht="24.75" customHeight="1">
      <c r="B16" s="302" t="s">
        <v>425</v>
      </c>
      <c r="C16" s="303">
        <f>C17+C19</f>
        <v>8267803.585</v>
      </c>
      <c r="D16" s="303">
        <f>D17+D19</f>
        <v>8943805.830500001</v>
      </c>
      <c r="E16" s="303">
        <f>E17+E19</f>
        <v>6826992.2785</v>
      </c>
      <c r="F16" s="303">
        <f>F17+F19</f>
        <v>6555186.3365</v>
      </c>
      <c r="G16" s="303">
        <f>G17+G19</f>
        <v>4001608.7945</v>
      </c>
      <c r="H16" s="303">
        <f>H17+H19</f>
        <v>3849895.2525</v>
      </c>
      <c r="I16" s="303">
        <f>I17+I19</f>
        <v>3698181.7105</v>
      </c>
      <c r="J16" s="303">
        <f>J17+J19</f>
        <v>3546468.1685</v>
      </c>
      <c r="K16" s="303">
        <f>K17+K19</f>
        <v>3394763.1765</v>
      </c>
      <c r="L16" s="303">
        <f>L17+L19</f>
        <v>2019326.73</v>
      </c>
      <c r="M16" s="303">
        <f>M17+M19</f>
        <v>471848</v>
      </c>
      <c r="N16" s="303">
        <f>N17+N19</f>
        <v>471848</v>
      </c>
      <c r="O16" s="303">
        <f>O17+O19</f>
        <v>471848</v>
      </c>
      <c r="P16" s="303">
        <f>P17+P19</f>
        <v>471848</v>
      </c>
      <c r="Q16" s="303">
        <f>Q17+Q19</f>
        <v>471848</v>
      </c>
      <c r="R16" s="303">
        <f>R17+R19</f>
        <v>471848</v>
      </c>
      <c r="S16" s="303">
        <f>S17+S19</f>
        <v>471848</v>
      </c>
      <c r="T16" s="303">
        <f>T17+T19</f>
        <v>471848</v>
      </c>
      <c r="U16" s="303">
        <f>U17+U19</f>
        <v>471848</v>
      </c>
      <c r="V16" s="303">
        <f>V17+V19</f>
        <v>471848</v>
      </c>
      <c r="W16" s="303">
        <f>W17+W19</f>
        <v>471860</v>
      </c>
      <c r="X16" s="303">
        <f>X17+X19</f>
        <v>0</v>
      </c>
    </row>
    <row r="17" spans="2:24" ht="23.25" customHeight="1">
      <c r="B17" s="304" t="s">
        <v>426</v>
      </c>
      <c r="C17" s="305">
        <f>C59</f>
        <v>6701134</v>
      </c>
      <c r="D17" s="305">
        <f>D59</f>
        <v>7281140.890000001</v>
      </c>
      <c r="E17" s="305">
        <f>E59</f>
        <v>5436134.04</v>
      </c>
      <c r="F17" s="305">
        <f>F59</f>
        <v>5436134.84</v>
      </c>
      <c r="G17" s="305">
        <f>G59</f>
        <v>3034270.84</v>
      </c>
      <c r="H17" s="305">
        <f>H59</f>
        <v>3034270.84</v>
      </c>
      <c r="I17" s="305">
        <f>I59</f>
        <v>3034270.84</v>
      </c>
      <c r="J17" s="305">
        <f>J59</f>
        <v>3034270.84</v>
      </c>
      <c r="K17" s="305">
        <f>K59</f>
        <v>3034279.84</v>
      </c>
      <c r="L17" s="305">
        <f>L59</f>
        <v>2019326.73</v>
      </c>
      <c r="M17" s="305">
        <f>M59</f>
        <v>471848</v>
      </c>
      <c r="N17" s="305">
        <f>N59</f>
        <v>471848</v>
      </c>
      <c r="O17" s="305">
        <f>O59</f>
        <v>471848</v>
      </c>
      <c r="P17" s="305">
        <f>P59</f>
        <v>471848</v>
      </c>
      <c r="Q17" s="305">
        <f>Q59</f>
        <v>471848</v>
      </c>
      <c r="R17" s="305">
        <f>R59</f>
        <v>471848</v>
      </c>
      <c r="S17" s="305">
        <f>S59</f>
        <v>471848</v>
      </c>
      <c r="T17" s="305">
        <f>T59</f>
        <v>471848</v>
      </c>
      <c r="U17" s="305">
        <f>U59</f>
        <v>471848</v>
      </c>
      <c r="V17" s="305">
        <f>V59</f>
        <v>471848</v>
      </c>
      <c r="W17" s="305">
        <f>W59</f>
        <v>471860</v>
      </c>
      <c r="X17" s="305">
        <f>X59</f>
        <v>0</v>
      </c>
    </row>
    <row r="18" spans="2:24" ht="26.25" customHeight="1">
      <c r="B18" s="304" t="s">
        <v>427</v>
      </c>
      <c r="C18" s="305">
        <f>C60</f>
        <v>1974529.9</v>
      </c>
      <c r="D18" s="305">
        <f>D60</f>
        <v>1245956.9</v>
      </c>
      <c r="E18" s="305">
        <f>E60</f>
        <v>1083800.9</v>
      </c>
      <c r="F18" s="305">
        <f>F60</f>
        <v>1083800.9</v>
      </c>
      <c r="G18" s="305">
        <f>G60</f>
        <v>860083.9</v>
      </c>
      <c r="H18" s="305">
        <f>H60</f>
        <v>860083.9</v>
      </c>
      <c r="I18" s="305">
        <f>I60</f>
        <v>860083.9</v>
      </c>
      <c r="J18" s="305">
        <f>J60</f>
        <v>860083.9</v>
      </c>
      <c r="K18" s="305">
        <f>K60</f>
        <v>860086.9</v>
      </c>
      <c r="L18" s="305">
        <f>L60</f>
        <v>388668.9</v>
      </c>
      <c r="M18" s="305">
        <f>M60</f>
        <v>75188</v>
      </c>
      <c r="N18" s="305">
        <f>N60</f>
        <v>75188</v>
      </c>
      <c r="O18" s="305">
        <f>O60</f>
        <v>75188</v>
      </c>
      <c r="P18" s="305">
        <f>P60</f>
        <v>75188</v>
      </c>
      <c r="Q18" s="305">
        <f>Q60</f>
        <v>75188</v>
      </c>
      <c r="R18" s="305">
        <f>R60</f>
        <v>75188</v>
      </c>
      <c r="S18" s="305">
        <f>S60</f>
        <v>75188</v>
      </c>
      <c r="T18" s="305">
        <f>T60</f>
        <v>75188</v>
      </c>
      <c r="U18" s="305">
        <f>U60</f>
        <v>75188</v>
      </c>
      <c r="V18" s="305">
        <f>V60</f>
        <v>75188</v>
      </c>
      <c r="W18" s="305">
        <f>W60</f>
        <v>75234</v>
      </c>
      <c r="X18" s="305">
        <f>X60</f>
        <v>0</v>
      </c>
    </row>
    <row r="19" spans="2:24" ht="24" customHeight="1">
      <c r="B19" s="304" t="s">
        <v>428</v>
      </c>
      <c r="C19" s="305">
        <f>C61</f>
        <v>1566669.5850000002</v>
      </c>
      <c r="D19" s="305">
        <f>D61</f>
        <v>1662664.9405000003</v>
      </c>
      <c r="E19" s="305">
        <f>E61</f>
        <v>1390858.2385000002</v>
      </c>
      <c r="F19" s="305">
        <f>F61</f>
        <v>1119051.4965000001</v>
      </c>
      <c r="G19" s="305">
        <f>G61</f>
        <v>967337.9545000002</v>
      </c>
      <c r="H19" s="305">
        <f>H61</f>
        <v>815624.4125000002</v>
      </c>
      <c r="I19" s="305">
        <f>I61</f>
        <v>663910.8705000002</v>
      </c>
      <c r="J19" s="305">
        <f>J61</f>
        <v>512197.32850000024</v>
      </c>
      <c r="K19" s="305">
        <f>K61</f>
        <v>360483.3365000002</v>
      </c>
      <c r="L19" s="305">
        <f>L61</f>
        <v>0</v>
      </c>
      <c r="M19" s="308">
        <v>0</v>
      </c>
      <c r="N19" s="308">
        <v>0</v>
      </c>
      <c r="O19" s="308">
        <v>0</v>
      </c>
      <c r="P19" s="308">
        <v>0</v>
      </c>
      <c r="Q19" s="308">
        <v>0</v>
      </c>
      <c r="R19" s="308">
        <v>0</v>
      </c>
      <c r="S19" s="308">
        <v>0</v>
      </c>
      <c r="T19" s="308">
        <v>0</v>
      </c>
      <c r="U19" s="308">
        <v>0</v>
      </c>
      <c r="V19" s="308">
        <v>0</v>
      </c>
      <c r="W19" s="308">
        <v>0</v>
      </c>
      <c r="X19" s="308">
        <v>0</v>
      </c>
    </row>
    <row r="20" spans="2:24" ht="24.75" customHeight="1">
      <c r="B20" s="302" t="s">
        <v>429</v>
      </c>
      <c r="C20" s="303">
        <f>C21+C23+C25</f>
        <v>433330.4149999998</v>
      </c>
      <c r="D20" s="303">
        <f>D21+D23+D25</f>
        <v>537335.0594999997</v>
      </c>
      <c r="E20" s="303">
        <f>E21+E23+E25</f>
        <v>1174171.2319299998</v>
      </c>
      <c r="F20" s="303">
        <f>F21+F23+F25</f>
        <v>1094688.3998600002</v>
      </c>
      <c r="G20" s="303">
        <f>G21+G23+G25</f>
        <v>1039224.20779</v>
      </c>
      <c r="H20" s="303">
        <f>H21+H23+H25</f>
        <v>983760.0157200003</v>
      </c>
      <c r="I20" s="303">
        <f>I21+I23+I25</f>
        <v>928295.8236500003</v>
      </c>
      <c r="J20" s="303">
        <f>J21+J23+J25</f>
        <v>872831.6315800003</v>
      </c>
      <c r="K20" s="303">
        <f>K21+K23+K25</f>
        <v>817367.3495100003</v>
      </c>
      <c r="L20" s="303">
        <f>L21+L23+L25</f>
        <v>1031569.5985400005</v>
      </c>
      <c r="M20" s="303">
        <f>M21+M23+M25</f>
        <v>978137.2348700005</v>
      </c>
      <c r="N20" s="303">
        <f>N21+N23+N25</f>
        <v>924704.8712000005</v>
      </c>
      <c r="O20" s="303">
        <f>O21+O23+O25</f>
        <v>871272.5075300005</v>
      </c>
      <c r="P20" s="303">
        <f>P21+P23+P25</f>
        <v>817840.1438600004</v>
      </c>
      <c r="Q20" s="303">
        <f>Q21+Q23+Q25</f>
        <v>764407.7801900004</v>
      </c>
      <c r="R20" s="303">
        <f>R21+R23+R25</f>
        <v>710975.4165200004</v>
      </c>
      <c r="S20" s="303">
        <f>S21+S23+S25</f>
        <v>657543.0528500004</v>
      </c>
      <c r="T20" s="303">
        <f>T21+T23+T25</f>
        <v>604110.6891800005</v>
      </c>
      <c r="U20" s="303">
        <f>U21+U23+U25</f>
        <v>550678.3255100005</v>
      </c>
      <c r="V20" s="303">
        <f>V21+V23+V25</f>
        <v>497245.96184000047</v>
      </c>
      <c r="W20" s="303">
        <f>W21+W23+W25</f>
        <v>443812.87817000045</v>
      </c>
      <c r="X20" s="303">
        <f>X21+X23+X25</f>
        <v>418691.39450000005</v>
      </c>
    </row>
    <row r="21" spans="2:24" ht="22.5" customHeight="1">
      <c r="B21" s="304" t="s">
        <v>430</v>
      </c>
      <c r="C21" s="309">
        <v>0</v>
      </c>
      <c r="D21" s="309">
        <f>D63</f>
        <v>0</v>
      </c>
      <c r="E21" s="310">
        <f>E63</f>
        <v>418691.39450000005</v>
      </c>
      <c r="F21" s="310">
        <f>F63</f>
        <v>418691.39450000005</v>
      </c>
      <c r="G21" s="310">
        <f>G63</f>
        <v>418691.39450000005</v>
      </c>
      <c r="H21" s="310">
        <f>H63</f>
        <v>418691.39450000005</v>
      </c>
      <c r="I21" s="310">
        <f>I63</f>
        <v>418691.39450000005</v>
      </c>
      <c r="J21" s="310">
        <f>J63</f>
        <v>418691.39450000005</v>
      </c>
      <c r="K21" s="310">
        <f>K63</f>
        <v>418691.39450000005</v>
      </c>
      <c r="L21" s="310">
        <f>L63</f>
        <v>418691.39450000005</v>
      </c>
      <c r="M21" s="310">
        <f>M63</f>
        <v>418691.39450000005</v>
      </c>
      <c r="N21" s="310">
        <f>N63</f>
        <v>418691.39450000005</v>
      </c>
      <c r="O21" s="310">
        <f>O63</f>
        <v>418691.39450000005</v>
      </c>
      <c r="P21" s="310">
        <f>P63</f>
        <v>418691.39450000005</v>
      </c>
      <c r="Q21" s="310">
        <f>Q63</f>
        <v>418691.39450000005</v>
      </c>
      <c r="R21" s="310">
        <f>R63</f>
        <v>418691.39450000005</v>
      </c>
      <c r="S21" s="310">
        <f>S63</f>
        <v>418691.39450000005</v>
      </c>
      <c r="T21" s="310">
        <f>T63</f>
        <v>418691.39450000005</v>
      </c>
      <c r="U21" s="310">
        <f>U63</f>
        <v>418691.39450000005</v>
      </c>
      <c r="V21" s="310">
        <f>V63</f>
        <v>418691.39450000005</v>
      </c>
      <c r="W21" s="310">
        <f>W63</f>
        <v>418691.39450000005</v>
      </c>
      <c r="X21" s="310">
        <f>X63</f>
        <v>418691.39450000005</v>
      </c>
    </row>
    <row r="22" spans="2:24" ht="33.75" customHeight="1">
      <c r="B22" s="304" t="s">
        <v>431</v>
      </c>
      <c r="C22" s="309">
        <v>0</v>
      </c>
      <c r="D22" s="309">
        <f>D64</f>
        <v>0</v>
      </c>
      <c r="E22" s="309">
        <f>E64</f>
        <v>131634.35</v>
      </c>
      <c r="F22" s="309">
        <f>F64</f>
        <v>131634.35</v>
      </c>
      <c r="G22" s="309">
        <f>G64</f>
        <v>131634.35</v>
      </c>
      <c r="H22" s="309">
        <f>H64</f>
        <v>131634.35</v>
      </c>
      <c r="I22" s="309">
        <f>I64</f>
        <v>131634.35</v>
      </c>
      <c r="J22" s="309">
        <f>J64</f>
        <v>131634.35</v>
      </c>
      <c r="K22" s="309">
        <f>K64</f>
        <v>131634.35</v>
      </c>
      <c r="L22" s="309">
        <f>L64</f>
        <v>131634.35</v>
      </c>
      <c r="M22" s="309">
        <f>M64</f>
        <v>131634.35</v>
      </c>
      <c r="N22" s="309">
        <f>N64</f>
        <v>131634.35</v>
      </c>
      <c r="O22" s="309">
        <f>O64</f>
        <v>131634.35</v>
      </c>
      <c r="P22" s="309">
        <f>P64</f>
        <v>131634.35</v>
      </c>
      <c r="Q22" s="309">
        <f>Q64</f>
        <v>131634.35</v>
      </c>
      <c r="R22" s="309">
        <f>R64</f>
        <v>131634.35</v>
      </c>
      <c r="S22" s="309">
        <f>S64</f>
        <v>131634.35</v>
      </c>
      <c r="T22" s="309">
        <f>T64</f>
        <v>131634.35</v>
      </c>
      <c r="U22" s="309">
        <f>U64</f>
        <v>131634.35</v>
      </c>
      <c r="V22" s="309">
        <f>V64</f>
        <v>131634.35</v>
      </c>
      <c r="W22" s="309">
        <f>W64</f>
        <v>131634.35</v>
      </c>
      <c r="X22" s="309">
        <f>X64</f>
        <v>131634.35</v>
      </c>
    </row>
    <row r="23" spans="2:24" ht="21" customHeight="1">
      <c r="B23" s="304" t="s">
        <v>432</v>
      </c>
      <c r="C23" s="308">
        <v>0</v>
      </c>
      <c r="D23" s="308"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  <c r="J23" s="308">
        <v>0</v>
      </c>
      <c r="K23" s="308">
        <v>0</v>
      </c>
      <c r="L23" s="308">
        <v>0</v>
      </c>
      <c r="M23" s="308">
        <v>0</v>
      </c>
      <c r="N23" s="308">
        <v>0</v>
      </c>
      <c r="O23" s="308">
        <v>0</v>
      </c>
      <c r="P23" s="308">
        <v>0</v>
      </c>
      <c r="Q23" s="308">
        <v>0</v>
      </c>
      <c r="R23" s="308">
        <v>0</v>
      </c>
      <c r="S23" s="308">
        <v>0</v>
      </c>
      <c r="T23" s="308">
        <v>0</v>
      </c>
      <c r="U23" s="308">
        <v>0</v>
      </c>
      <c r="V23" s="308">
        <v>0</v>
      </c>
      <c r="W23" s="308">
        <v>0</v>
      </c>
      <c r="X23" s="308">
        <v>0</v>
      </c>
    </row>
    <row r="24" spans="2:24" ht="39.75" customHeight="1">
      <c r="B24" s="304" t="s">
        <v>433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08">
        <v>0</v>
      </c>
      <c r="T24" s="308">
        <v>0</v>
      </c>
      <c r="U24" s="308">
        <v>0</v>
      </c>
      <c r="V24" s="308">
        <v>0</v>
      </c>
      <c r="W24" s="308">
        <v>0</v>
      </c>
      <c r="X24" s="308">
        <v>0</v>
      </c>
    </row>
    <row r="25" spans="2:24" ht="20.25" customHeight="1">
      <c r="B25" s="304" t="s">
        <v>434</v>
      </c>
      <c r="C25" s="309">
        <f>C65</f>
        <v>433330.4149999998</v>
      </c>
      <c r="D25" s="309">
        <f>D65</f>
        <v>537335.0594999997</v>
      </c>
      <c r="E25" s="309">
        <f>E65</f>
        <v>755479.8374299996</v>
      </c>
      <c r="F25" s="309">
        <f>F65</f>
        <v>675997.0053600001</v>
      </c>
      <c r="G25" s="309">
        <f>G65</f>
        <v>620532.81329</v>
      </c>
      <c r="H25" s="309">
        <f>H65</f>
        <v>565068.6212200002</v>
      </c>
      <c r="I25" s="309">
        <f>I65</f>
        <v>509604.4291500002</v>
      </c>
      <c r="J25" s="309">
        <f>J65</f>
        <v>454140.23708000017</v>
      </c>
      <c r="K25" s="309">
        <f>K65</f>
        <v>398675.95501000027</v>
      </c>
      <c r="L25" s="309">
        <f>L65</f>
        <v>612878.2040400004</v>
      </c>
      <c r="M25" s="309">
        <f>M65</f>
        <v>559445.8403700005</v>
      </c>
      <c r="N25" s="309">
        <f>N65</f>
        <v>506013.47670000046</v>
      </c>
      <c r="O25" s="309">
        <f>O65</f>
        <v>452581.1130300004</v>
      </c>
      <c r="P25" s="309">
        <f>P65</f>
        <v>399148.7493600004</v>
      </c>
      <c r="Q25" s="309">
        <f>Q65</f>
        <v>345716.3856900004</v>
      </c>
      <c r="R25" s="309">
        <f>R65</f>
        <v>292284.0220200004</v>
      </c>
      <c r="S25" s="309">
        <f>S65</f>
        <v>238851.65835000036</v>
      </c>
      <c r="T25" s="309">
        <f>T65</f>
        <v>185419.29468000037</v>
      </c>
      <c r="U25" s="309">
        <f>U65</f>
        <v>131986.93101000038</v>
      </c>
      <c r="V25" s="309">
        <f>V65</f>
        <v>78554.56734000039</v>
      </c>
      <c r="W25" s="309">
        <f>W65</f>
        <v>25121.48367000038</v>
      </c>
      <c r="X25" s="309">
        <f>X65</f>
        <v>0</v>
      </c>
    </row>
    <row r="26" spans="2:24" ht="28.5" customHeight="1">
      <c r="B26" s="302" t="s">
        <v>435</v>
      </c>
      <c r="C26" s="303">
        <f>C27+C28+C29</f>
        <v>0</v>
      </c>
      <c r="D26" s="303">
        <f>D27+D28+D29</f>
        <v>0</v>
      </c>
      <c r="E26" s="303">
        <f>E27+E28+E29</f>
        <v>0</v>
      </c>
      <c r="F26" s="303">
        <f>F27+F29</f>
        <v>0</v>
      </c>
      <c r="G26" s="303">
        <f>G27+G29</f>
        <v>0</v>
      </c>
      <c r="H26" s="303">
        <f>H27+H29</f>
        <v>0</v>
      </c>
      <c r="I26" s="303">
        <f>I27+I29</f>
        <v>0</v>
      </c>
      <c r="J26" s="303">
        <f>J27+J29</f>
        <v>0</v>
      </c>
      <c r="K26" s="303">
        <f>K27+K29</f>
        <v>0</v>
      </c>
      <c r="L26" s="303">
        <f>L27+L29</f>
        <v>0</v>
      </c>
      <c r="M26" s="303">
        <f>M27+M29</f>
        <v>0</v>
      </c>
      <c r="N26" s="303">
        <f>N27+N29</f>
        <v>0</v>
      </c>
      <c r="O26" s="303">
        <f>O27+O29</f>
        <v>0</v>
      </c>
      <c r="P26" s="303">
        <f>P27+P29</f>
        <v>0</v>
      </c>
      <c r="Q26" s="303">
        <f>Q27+Q29</f>
        <v>0</v>
      </c>
      <c r="R26" s="303">
        <f>R27+R29</f>
        <v>0</v>
      </c>
      <c r="S26" s="303">
        <f>S27+S29</f>
        <v>0</v>
      </c>
      <c r="T26" s="303">
        <f>T27+T29</f>
        <v>0</v>
      </c>
      <c r="U26" s="303">
        <f>U27+U29</f>
        <v>0</v>
      </c>
      <c r="V26" s="303">
        <f>V27+V29</f>
        <v>0</v>
      </c>
      <c r="W26" s="303">
        <f>W27+W29</f>
        <v>0</v>
      </c>
      <c r="X26" s="303">
        <f>X27+X29</f>
        <v>0</v>
      </c>
    </row>
    <row r="27" spans="2:24" ht="20.25" customHeight="1">
      <c r="B27" s="304" t="s">
        <v>436</v>
      </c>
      <c r="C27" s="309">
        <v>0</v>
      </c>
      <c r="D27" s="309">
        <v>0</v>
      </c>
      <c r="E27" s="309">
        <f>E68</f>
        <v>0</v>
      </c>
      <c r="F27" s="309">
        <f>F68</f>
        <v>0</v>
      </c>
      <c r="G27" s="309">
        <f>G68</f>
        <v>0</v>
      </c>
      <c r="H27" s="309">
        <f>H68</f>
        <v>0</v>
      </c>
      <c r="I27" s="309">
        <f>I68</f>
        <v>0</v>
      </c>
      <c r="J27" s="309">
        <f>J68</f>
        <v>0</v>
      </c>
      <c r="K27" s="309">
        <f>K68</f>
        <v>0</v>
      </c>
      <c r="L27" s="309">
        <f>L68</f>
        <v>0</v>
      </c>
      <c r="M27" s="309">
        <f>M68</f>
        <v>0</v>
      </c>
      <c r="N27" s="309">
        <f>N68</f>
        <v>0</v>
      </c>
      <c r="O27" s="309">
        <f>O68</f>
        <v>0</v>
      </c>
      <c r="P27" s="309">
        <f>P68</f>
        <v>0</v>
      </c>
      <c r="Q27" s="309">
        <f>Q68</f>
        <v>0</v>
      </c>
      <c r="R27" s="309">
        <f>R68</f>
        <v>0</v>
      </c>
      <c r="S27" s="309">
        <f>S68</f>
        <v>0</v>
      </c>
      <c r="T27" s="309">
        <f>T68</f>
        <v>0</v>
      </c>
      <c r="U27" s="309">
        <f>U68</f>
        <v>0</v>
      </c>
      <c r="V27" s="309">
        <f>V68</f>
        <v>0</v>
      </c>
      <c r="W27" s="309">
        <f>W68</f>
        <v>0</v>
      </c>
      <c r="X27" s="309">
        <f>X68</f>
        <v>0</v>
      </c>
    </row>
    <row r="28" spans="2:24" ht="30.75" customHeight="1">
      <c r="B28" s="304" t="s">
        <v>437</v>
      </c>
      <c r="C28" s="309">
        <v>0</v>
      </c>
      <c r="D28" s="309">
        <v>0</v>
      </c>
      <c r="E28" s="309">
        <f>E69</f>
        <v>0</v>
      </c>
      <c r="F28" s="309">
        <f>F69</f>
        <v>0</v>
      </c>
      <c r="G28" s="309">
        <f>G69</f>
        <v>0</v>
      </c>
      <c r="H28" s="309">
        <f>H69</f>
        <v>0</v>
      </c>
      <c r="I28" s="309">
        <f>I69</f>
        <v>0</v>
      </c>
      <c r="J28" s="309">
        <f>J69</f>
        <v>0</v>
      </c>
      <c r="K28" s="309">
        <f>K69</f>
        <v>0</v>
      </c>
      <c r="L28" s="309">
        <f>L69</f>
        <v>0</v>
      </c>
      <c r="M28" s="309">
        <f>M69</f>
        <v>0</v>
      </c>
      <c r="N28" s="309">
        <f>N69</f>
        <v>0</v>
      </c>
      <c r="O28" s="309">
        <f>O69</f>
        <v>0</v>
      </c>
      <c r="P28" s="309">
        <f>P69</f>
        <v>0</v>
      </c>
      <c r="Q28" s="309">
        <f>Q69</f>
        <v>0</v>
      </c>
      <c r="R28" s="309">
        <f>R69</f>
        <v>0</v>
      </c>
      <c r="S28" s="309">
        <f>S69</f>
        <v>0</v>
      </c>
      <c r="T28" s="309">
        <f>T69</f>
        <v>0</v>
      </c>
      <c r="U28" s="309">
        <f>U69</f>
        <v>0</v>
      </c>
      <c r="V28" s="309">
        <f>V69</f>
        <v>0</v>
      </c>
      <c r="W28" s="309">
        <f>W69</f>
        <v>0</v>
      </c>
      <c r="X28" s="309">
        <f>X69</f>
        <v>0</v>
      </c>
    </row>
    <row r="29" spans="2:24" ht="20.25" customHeight="1">
      <c r="B29" s="304" t="s">
        <v>438</v>
      </c>
      <c r="C29" s="309">
        <v>0</v>
      </c>
      <c r="D29" s="309">
        <f>D70</f>
        <v>0</v>
      </c>
      <c r="E29" s="309">
        <f>E70</f>
        <v>0</v>
      </c>
      <c r="F29" s="309">
        <f>F70</f>
        <v>0</v>
      </c>
      <c r="G29" s="309">
        <f>G70</f>
        <v>0</v>
      </c>
      <c r="H29" s="309">
        <f>H70</f>
        <v>0</v>
      </c>
      <c r="I29" s="309">
        <f>I70</f>
        <v>0</v>
      </c>
      <c r="J29" s="309">
        <f>J70</f>
        <v>0</v>
      </c>
      <c r="K29" s="309">
        <f>K70</f>
        <v>0</v>
      </c>
      <c r="L29" s="309">
        <f>L70</f>
        <v>0</v>
      </c>
      <c r="M29" s="309">
        <f>M70</f>
        <v>0</v>
      </c>
      <c r="N29" s="309">
        <f>N70</f>
        <v>0</v>
      </c>
      <c r="O29" s="309">
        <f>O70</f>
        <v>0</v>
      </c>
      <c r="P29" s="309">
        <f>P70</f>
        <v>0</v>
      </c>
      <c r="Q29" s="309">
        <f>Q70</f>
        <v>0</v>
      </c>
      <c r="R29" s="309">
        <f>R70</f>
        <v>0</v>
      </c>
      <c r="S29" s="309">
        <f>S70</f>
        <v>0</v>
      </c>
      <c r="T29" s="309">
        <f>T70</f>
        <v>0</v>
      </c>
      <c r="U29" s="309">
        <f>U70</f>
        <v>0</v>
      </c>
      <c r="V29" s="309">
        <f>V70</f>
        <v>0</v>
      </c>
      <c r="W29" s="309">
        <f>W70</f>
        <v>0</v>
      </c>
      <c r="X29" s="309">
        <f>X70</f>
        <v>0</v>
      </c>
    </row>
    <row r="30" spans="2:24" ht="24" customHeight="1">
      <c r="B30" s="302" t="s">
        <v>439</v>
      </c>
      <c r="C30" s="303">
        <f>C31+C32</f>
        <v>0</v>
      </c>
      <c r="D30" s="303">
        <f>D31+D32</f>
        <v>0</v>
      </c>
      <c r="E30" s="303">
        <f>E31+E32</f>
        <v>0</v>
      </c>
      <c r="F30" s="303">
        <f>F31+F32</f>
        <v>0</v>
      </c>
      <c r="G30" s="303">
        <f>G31+G32</f>
        <v>0</v>
      </c>
      <c r="H30" s="303">
        <f>H31+H32</f>
        <v>0</v>
      </c>
      <c r="I30" s="303">
        <f>I31+I32</f>
        <v>0</v>
      </c>
      <c r="J30" s="303">
        <f>J31+J32</f>
        <v>0</v>
      </c>
      <c r="K30" s="303">
        <f>K31+K32</f>
        <v>0</v>
      </c>
      <c r="L30" s="303">
        <f>L31+L32</f>
        <v>0</v>
      </c>
      <c r="M30" s="303">
        <f>M31+M32</f>
        <v>0</v>
      </c>
      <c r="N30" s="303">
        <f>N31+N32</f>
        <v>0</v>
      </c>
      <c r="O30" s="303">
        <f>O31+O32</f>
        <v>0</v>
      </c>
      <c r="P30" s="303">
        <f>P31+P32</f>
        <v>0</v>
      </c>
      <c r="Q30" s="303">
        <f>Q31+Q32</f>
        <v>0</v>
      </c>
      <c r="R30" s="303">
        <f>R31+R32</f>
        <v>0</v>
      </c>
      <c r="S30" s="303">
        <f>S31+S32</f>
        <v>0</v>
      </c>
      <c r="T30" s="303">
        <f>T31+T32</f>
        <v>0</v>
      </c>
      <c r="U30" s="303">
        <f>U31+U32</f>
        <v>0</v>
      </c>
      <c r="V30" s="303">
        <f>V31+V32</f>
        <v>0</v>
      </c>
      <c r="W30" s="303">
        <f>W31+W32</f>
        <v>0</v>
      </c>
      <c r="X30" s="303">
        <f>X31+X32</f>
        <v>0</v>
      </c>
    </row>
    <row r="31" spans="2:24" ht="39.75" customHeight="1">
      <c r="B31" s="304" t="s">
        <v>440</v>
      </c>
      <c r="C31" s="308">
        <v>0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  <c r="J31" s="308">
        <v>0</v>
      </c>
      <c r="K31" s="308">
        <v>0</v>
      </c>
      <c r="L31" s="308">
        <v>0</v>
      </c>
      <c r="M31" s="308">
        <v>0</v>
      </c>
      <c r="N31" s="308">
        <v>0</v>
      </c>
      <c r="O31" s="308">
        <v>0</v>
      </c>
      <c r="P31" s="308">
        <v>0</v>
      </c>
      <c r="Q31" s="308">
        <v>0</v>
      </c>
      <c r="R31" s="308">
        <v>0</v>
      </c>
      <c r="S31" s="308">
        <v>0</v>
      </c>
      <c r="T31" s="308">
        <v>0</v>
      </c>
      <c r="U31" s="308">
        <v>0</v>
      </c>
      <c r="V31" s="308">
        <v>0</v>
      </c>
      <c r="W31" s="308">
        <v>0</v>
      </c>
      <c r="X31" s="308">
        <v>0</v>
      </c>
    </row>
    <row r="32" spans="2:24" ht="24" customHeight="1">
      <c r="B32" s="304" t="s">
        <v>441</v>
      </c>
      <c r="C32" s="308">
        <v>0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  <c r="M32" s="308">
        <v>0</v>
      </c>
      <c r="N32" s="308">
        <v>0</v>
      </c>
      <c r="O32" s="308">
        <v>0</v>
      </c>
      <c r="P32" s="308">
        <v>0</v>
      </c>
      <c r="Q32" s="308">
        <v>0</v>
      </c>
      <c r="R32" s="308">
        <v>0</v>
      </c>
      <c r="S32" s="308">
        <v>0</v>
      </c>
      <c r="T32" s="308">
        <v>0</v>
      </c>
      <c r="U32" s="308">
        <v>0</v>
      </c>
      <c r="V32" s="308">
        <v>0</v>
      </c>
      <c r="W32" s="308">
        <v>0</v>
      </c>
      <c r="X32" s="308">
        <v>0</v>
      </c>
    </row>
    <row r="33" spans="2:24" ht="27" customHeight="1">
      <c r="B33" s="302" t="s">
        <v>442</v>
      </c>
      <c r="C33" s="276">
        <f>zał2!E36</f>
        <v>348000</v>
      </c>
      <c r="D33" s="276">
        <f>zał2!F36</f>
        <v>1192000</v>
      </c>
      <c r="E33" s="276">
        <f>zał2!G36</f>
        <v>1000000</v>
      </c>
      <c r="F33" s="276">
        <f>zał2!H36</f>
        <v>0</v>
      </c>
      <c r="G33" s="276">
        <f>zał2!I36</f>
        <v>0</v>
      </c>
      <c r="H33" s="276">
        <f>zał2!J36</f>
        <v>0</v>
      </c>
      <c r="I33" s="276">
        <f>zał2!K36</f>
        <v>0</v>
      </c>
      <c r="J33" s="276">
        <f>zał2!L36</f>
        <v>0</v>
      </c>
      <c r="K33" s="276">
        <f>zał2!M36</f>
        <v>0</v>
      </c>
      <c r="L33" s="276">
        <f>zał2!N36</f>
        <v>0</v>
      </c>
      <c r="M33" s="276">
        <f>zał2!O36</f>
        <v>0</v>
      </c>
      <c r="N33" s="276">
        <f>zał2!P36</f>
        <v>0</v>
      </c>
      <c r="O33" s="276">
        <f>zał2!Q36</f>
        <v>0</v>
      </c>
      <c r="P33" s="276">
        <f>zał2!R36</f>
        <v>0</v>
      </c>
      <c r="Q33" s="276">
        <f>zał2!S36</f>
        <v>0</v>
      </c>
      <c r="R33" s="276">
        <f>zał2!T36</f>
        <v>0</v>
      </c>
      <c r="S33" s="276">
        <f>zał2!U36</f>
        <v>0</v>
      </c>
      <c r="T33" s="276">
        <f>zał2!V36</f>
        <v>0</v>
      </c>
      <c r="U33" s="276">
        <f>zał2!W36</f>
        <v>0</v>
      </c>
      <c r="V33" s="276">
        <f>zał2!X36</f>
        <v>0</v>
      </c>
      <c r="W33" s="276">
        <f>zał2!Y36</f>
        <v>0</v>
      </c>
      <c r="X33" s="276">
        <f>zał2!Z36</f>
        <v>0</v>
      </c>
    </row>
    <row r="34" spans="2:24" ht="29.25" customHeight="1">
      <c r="B34" s="302" t="s">
        <v>443</v>
      </c>
      <c r="C34" s="311">
        <f>C73</f>
        <v>40534439.7</v>
      </c>
      <c r="D34" s="311">
        <f>D73</f>
        <v>41627126.7</v>
      </c>
      <c r="E34" s="311">
        <f>E73</f>
        <v>35772301.2655</v>
      </c>
      <c r="F34" s="311">
        <f>F73</f>
        <v>29917475.031000003</v>
      </c>
      <c r="G34" s="311">
        <f>G73</f>
        <v>26464512.796500005</v>
      </c>
      <c r="H34" s="311">
        <f>H73</f>
        <v>23011550.562000003</v>
      </c>
      <c r="I34" s="311">
        <f>I73</f>
        <v>19558588.3275</v>
      </c>
      <c r="J34" s="311">
        <f>J73</f>
        <v>16105626.093000002</v>
      </c>
      <c r="K34" s="311">
        <f>K73</f>
        <v>12652654.858500002</v>
      </c>
      <c r="L34" s="311">
        <f>L73</f>
        <v>10214636.734000001</v>
      </c>
      <c r="M34" s="311">
        <f>M73</f>
        <v>9324097.3395</v>
      </c>
      <c r="N34" s="311">
        <f>N73</f>
        <v>8433557.945</v>
      </c>
      <c r="O34" s="311">
        <f>O73</f>
        <v>7543018.550500001</v>
      </c>
      <c r="P34" s="311">
        <f>P73</f>
        <v>6652479.156000001</v>
      </c>
      <c r="Q34" s="311">
        <f>Q73</f>
        <v>5761939.761500001</v>
      </c>
      <c r="R34" s="311">
        <f>R73</f>
        <v>4871400.367000001</v>
      </c>
      <c r="S34" s="311">
        <f>S73</f>
        <v>3980860.972500001</v>
      </c>
      <c r="T34" s="311">
        <f>T73</f>
        <v>3090321.578000001</v>
      </c>
      <c r="U34" s="311">
        <f>U73</f>
        <v>2199782.183500001</v>
      </c>
      <c r="V34" s="311">
        <f>V73</f>
        <v>1309242.7890000013</v>
      </c>
      <c r="W34" s="311">
        <f>W73</f>
        <v>418691.3945000011</v>
      </c>
      <c r="X34" s="311">
        <f>X73</f>
        <v>0</v>
      </c>
    </row>
    <row r="35" spans="2:24" ht="24.75" customHeight="1">
      <c r="B35" s="304" t="s">
        <v>444</v>
      </c>
      <c r="C35" s="18">
        <f>zał2!E49</f>
        <v>40534439.7</v>
      </c>
      <c r="D35" s="312">
        <f>D73</f>
        <v>41627126.7</v>
      </c>
      <c r="E35" s="312">
        <f>E73</f>
        <v>35772301.2655</v>
      </c>
      <c r="F35" s="312">
        <f>F73</f>
        <v>29917475.031000003</v>
      </c>
      <c r="G35" s="312">
        <f>G73</f>
        <v>26464512.796500005</v>
      </c>
      <c r="H35" s="312">
        <f>H73</f>
        <v>23011550.562000003</v>
      </c>
      <c r="I35" s="312">
        <f>I73</f>
        <v>19558588.3275</v>
      </c>
      <c r="J35" s="312">
        <f>J73</f>
        <v>16105626.093000002</v>
      </c>
      <c r="K35" s="312">
        <f>K73</f>
        <v>12652654.858500002</v>
      </c>
      <c r="L35" s="312">
        <f>L73</f>
        <v>10214636.734000001</v>
      </c>
      <c r="M35" s="312">
        <f>M73</f>
        <v>9324097.3395</v>
      </c>
      <c r="N35" s="312">
        <f>N73</f>
        <v>8433557.945</v>
      </c>
      <c r="O35" s="312">
        <f>O73</f>
        <v>7543018.550500001</v>
      </c>
      <c r="P35" s="312">
        <f>P73</f>
        <v>6652479.156000001</v>
      </c>
      <c r="Q35" s="312">
        <f>Q73</f>
        <v>5761939.761500001</v>
      </c>
      <c r="R35" s="312">
        <f>R73</f>
        <v>4871400.367000001</v>
      </c>
      <c r="S35" s="312">
        <f>S73</f>
        <v>3980860.972500001</v>
      </c>
      <c r="T35" s="312">
        <f>T73</f>
        <v>3090321.578000001</v>
      </c>
      <c r="U35" s="312">
        <f>U73</f>
        <v>2199782.183500001</v>
      </c>
      <c r="V35" s="312">
        <f>V73</f>
        <v>1309242.7890000013</v>
      </c>
      <c r="W35" s="312">
        <f>W73</f>
        <v>418691.3945000011</v>
      </c>
      <c r="X35" s="312">
        <f>X73</f>
        <v>0</v>
      </c>
    </row>
    <row r="36" spans="2:24" ht="25.5" customHeight="1">
      <c r="B36" s="304" t="s">
        <v>445</v>
      </c>
      <c r="C36" s="18">
        <f>zał2!E50</f>
        <v>8929764.1</v>
      </c>
      <c r="D36" s="312">
        <f>D74</f>
        <v>10316494.2</v>
      </c>
      <c r="E36" s="312">
        <f>E74</f>
        <v>9101058.95</v>
      </c>
      <c r="F36" s="312">
        <f>F74</f>
        <v>7885623.699999999</v>
      </c>
      <c r="G36" s="312">
        <f>G74</f>
        <v>6893905.449999999</v>
      </c>
      <c r="H36" s="312">
        <f>H74</f>
        <v>5902187.199999999</v>
      </c>
      <c r="I36" s="312">
        <f>I74</f>
        <v>4910468.949999999</v>
      </c>
      <c r="J36" s="312">
        <f>J74</f>
        <v>3918750.6999999993</v>
      </c>
      <c r="K36" s="312">
        <f>K74</f>
        <v>2927029.4499999993</v>
      </c>
      <c r="L36" s="312">
        <f>L74</f>
        <v>2406726.1999999993</v>
      </c>
      <c r="M36" s="312">
        <f>M74</f>
        <v>2199903.849999999</v>
      </c>
      <c r="N36" s="312">
        <f>N74</f>
        <v>1993081.499999999</v>
      </c>
      <c r="O36" s="312">
        <f>O74</f>
        <v>1786259.149999999</v>
      </c>
      <c r="P36" s="312">
        <f>P74</f>
        <v>1579436.7999999989</v>
      </c>
      <c r="Q36" s="312">
        <f>Q74</f>
        <v>1372614.4499999988</v>
      </c>
      <c r="R36" s="312">
        <f>R74</f>
        <v>1165792.0999999987</v>
      </c>
      <c r="S36" s="312">
        <f>S74</f>
        <v>958969.7499999987</v>
      </c>
      <c r="T36" s="312">
        <f>T74</f>
        <v>752147.3999999987</v>
      </c>
      <c r="U36" s="312">
        <f>U74</f>
        <v>545325.0499999988</v>
      </c>
      <c r="V36" s="312">
        <f>V74</f>
        <v>338502.6999999988</v>
      </c>
      <c r="W36" s="312">
        <f>W74</f>
        <v>131634.34999999878</v>
      </c>
      <c r="X36" s="312">
        <f>X74</f>
        <v>-1.2223608791828156E-09</v>
      </c>
    </row>
    <row r="37" spans="2:24" ht="23.25" customHeight="1">
      <c r="B37" s="304" t="s">
        <v>446</v>
      </c>
      <c r="C37" s="308">
        <v>0</v>
      </c>
      <c r="D37" s="308">
        <v>0</v>
      </c>
      <c r="E37" s="308">
        <v>0</v>
      </c>
      <c r="F37" s="308">
        <v>0</v>
      </c>
      <c r="G37" s="308">
        <v>0</v>
      </c>
      <c r="H37" s="308">
        <v>0</v>
      </c>
      <c r="I37" s="308">
        <v>0</v>
      </c>
      <c r="J37" s="308">
        <v>0</v>
      </c>
      <c r="K37" s="308">
        <v>0</v>
      </c>
      <c r="L37" s="308">
        <v>0</v>
      </c>
      <c r="M37" s="308">
        <v>0</v>
      </c>
      <c r="N37" s="308">
        <v>0</v>
      </c>
      <c r="O37" s="308">
        <v>0</v>
      </c>
      <c r="P37" s="308">
        <v>0</v>
      </c>
      <c r="Q37" s="308">
        <v>0</v>
      </c>
      <c r="R37" s="308">
        <v>0</v>
      </c>
      <c r="S37" s="308">
        <v>0</v>
      </c>
      <c r="T37" s="308">
        <v>0</v>
      </c>
      <c r="U37" s="308">
        <v>0</v>
      </c>
      <c r="V37" s="308">
        <v>0</v>
      </c>
      <c r="W37" s="308">
        <v>0</v>
      </c>
      <c r="X37" s="308">
        <v>0</v>
      </c>
    </row>
    <row r="38" spans="2:24" ht="26.25" customHeight="1">
      <c r="B38" s="304" t="s">
        <v>447</v>
      </c>
      <c r="C38" s="308">
        <v>0</v>
      </c>
      <c r="D38" s="308">
        <v>0</v>
      </c>
      <c r="E38" s="308">
        <v>0</v>
      </c>
      <c r="F38" s="308">
        <v>0</v>
      </c>
      <c r="G38" s="308">
        <v>0</v>
      </c>
      <c r="H38" s="308">
        <v>0</v>
      </c>
      <c r="I38" s="308">
        <v>0</v>
      </c>
      <c r="J38" s="308">
        <v>0</v>
      </c>
      <c r="K38" s="308">
        <v>0</v>
      </c>
      <c r="L38" s="308">
        <v>0</v>
      </c>
      <c r="M38" s="308">
        <v>0</v>
      </c>
      <c r="N38" s="308">
        <v>0</v>
      </c>
      <c r="O38" s="308">
        <v>0</v>
      </c>
      <c r="P38" s="308">
        <v>0</v>
      </c>
      <c r="Q38" s="308">
        <v>0</v>
      </c>
      <c r="R38" s="308">
        <v>0</v>
      </c>
      <c r="S38" s="308">
        <v>0</v>
      </c>
      <c r="T38" s="308">
        <v>0</v>
      </c>
      <c r="U38" s="308">
        <v>0</v>
      </c>
      <c r="V38" s="308">
        <v>0</v>
      </c>
      <c r="W38" s="308">
        <v>0</v>
      </c>
      <c r="X38" s="308">
        <v>0</v>
      </c>
    </row>
    <row r="39" spans="2:24" ht="18.75" customHeight="1">
      <c r="B39" s="304" t="s">
        <v>448</v>
      </c>
      <c r="C39" s="308">
        <v>0</v>
      </c>
      <c r="D39" s="308">
        <v>0</v>
      </c>
      <c r="E39" s="308">
        <v>0</v>
      </c>
      <c r="F39" s="308">
        <v>0</v>
      </c>
      <c r="G39" s="308">
        <v>0</v>
      </c>
      <c r="H39" s="308">
        <v>0</v>
      </c>
      <c r="I39" s="308">
        <v>0</v>
      </c>
      <c r="J39" s="308">
        <v>0</v>
      </c>
      <c r="K39" s="308">
        <v>0</v>
      </c>
      <c r="L39" s="308">
        <v>0</v>
      </c>
      <c r="M39" s="308">
        <v>0</v>
      </c>
      <c r="N39" s="308">
        <v>0</v>
      </c>
      <c r="O39" s="308">
        <v>0</v>
      </c>
      <c r="P39" s="308">
        <v>0</v>
      </c>
      <c r="Q39" s="308">
        <v>0</v>
      </c>
      <c r="R39" s="308">
        <v>0</v>
      </c>
      <c r="S39" s="308">
        <v>0</v>
      </c>
      <c r="T39" s="308">
        <v>0</v>
      </c>
      <c r="U39" s="308">
        <v>0</v>
      </c>
      <c r="V39" s="308">
        <v>0</v>
      </c>
      <c r="W39" s="308">
        <v>0</v>
      </c>
      <c r="X39" s="308">
        <v>0</v>
      </c>
    </row>
    <row r="40" spans="2:24" ht="27" customHeight="1">
      <c r="B40" s="304" t="s">
        <v>449</v>
      </c>
      <c r="C40" s="308">
        <v>0</v>
      </c>
      <c r="D40" s="308">
        <v>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  <c r="J40" s="308">
        <v>0</v>
      </c>
      <c r="K40" s="308">
        <v>0</v>
      </c>
      <c r="L40" s="308">
        <v>0</v>
      </c>
      <c r="M40" s="308">
        <v>0</v>
      </c>
      <c r="N40" s="308">
        <v>0</v>
      </c>
      <c r="O40" s="308">
        <v>0</v>
      </c>
      <c r="P40" s="308">
        <v>0</v>
      </c>
      <c r="Q40" s="308">
        <v>0</v>
      </c>
      <c r="R40" s="308">
        <v>0</v>
      </c>
      <c r="S40" s="308">
        <v>0</v>
      </c>
      <c r="T40" s="308">
        <v>0</v>
      </c>
      <c r="U40" s="308">
        <v>0</v>
      </c>
      <c r="V40" s="308">
        <v>0</v>
      </c>
      <c r="W40" s="308">
        <v>0</v>
      </c>
      <c r="X40" s="308">
        <v>0</v>
      </c>
    </row>
    <row r="41" spans="2:24" ht="42" customHeight="1">
      <c r="B41" s="302" t="s">
        <v>450</v>
      </c>
      <c r="C41" s="313" t="s">
        <v>14</v>
      </c>
      <c r="D41" s="313" t="s">
        <v>14</v>
      </c>
      <c r="E41" s="313" t="s">
        <v>14</v>
      </c>
      <c r="F41" s="314">
        <v>0</v>
      </c>
      <c r="G41" s="314">
        <v>0</v>
      </c>
      <c r="H41" s="314">
        <v>0</v>
      </c>
      <c r="I41" s="314">
        <v>0</v>
      </c>
      <c r="J41" s="314">
        <v>0</v>
      </c>
      <c r="K41" s="314">
        <v>0</v>
      </c>
      <c r="L41" s="314">
        <v>0</v>
      </c>
      <c r="M41" s="314">
        <v>0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314">
        <v>0</v>
      </c>
      <c r="T41" s="314">
        <v>0</v>
      </c>
      <c r="U41" s="314">
        <v>0</v>
      </c>
      <c r="V41" s="314">
        <v>0</v>
      </c>
      <c r="W41" s="314">
        <v>0</v>
      </c>
      <c r="X41" s="314">
        <v>0</v>
      </c>
    </row>
    <row r="42" spans="2:24" ht="27" customHeight="1">
      <c r="B42" s="302" t="s">
        <v>451</v>
      </c>
      <c r="C42" s="313">
        <f>SUM(C34/$C6)</f>
        <v>0.5577560801365992</v>
      </c>
      <c r="D42" s="313">
        <f>SUM(D34/$D6)</f>
        <v>0.456180620288213</v>
      </c>
      <c r="E42" s="313">
        <f>SUM(E34/$E6)</f>
        <v>0.5035561043610578</v>
      </c>
      <c r="F42" s="313" t="s">
        <v>14</v>
      </c>
      <c r="G42" s="313" t="s">
        <v>14</v>
      </c>
      <c r="H42" s="313" t="s">
        <v>14</v>
      </c>
      <c r="I42" s="313" t="s">
        <v>14</v>
      </c>
      <c r="J42" s="313" t="s">
        <v>14</v>
      </c>
      <c r="K42" s="313" t="s">
        <v>14</v>
      </c>
      <c r="L42" s="313" t="s">
        <v>14</v>
      </c>
      <c r="M42" s="313" t="s">
        <v>14</v>
      </c>
      <c r="N42" s="313" t="s">
        <v>14</v>
      </c>
      <c r="O42" s="313" t="s">
        <v>14</v>
      </c>
      <c r="P42" s="313" t="s">
        <v>14</v>
      </c>
      <c r="Q42" s="313" t="s">
        <v>14</v>
      </c>
      <c r="R42" s="313" t="s">
        <v>14</v>
      </c>
      <c r="S42" s="313" t="s">
        <v>14</v>
      </c>
      <c r="T42" s="313" t="s">
        <v>14</v>
      </c>
      <c r="U42" s="313" t="s">
        <v>14</v>
      </c>
      <c r="V42" s="313" t="s">
        <v>14</v>
      </c>
      <c r="W42" s="313" t="s">
        <v>14</v>
      </c>
      <c r="X42" s="313" t="s">
        <v>14</v>
      </c>
    </row>
    <row r="43" spans="2:24" ht="28.5" customHeight="1">
      <c r="B43" s="302" t="s">
        <v>452</v>
      </c>
      <c r="C43" s="313">
        <f>SUM((C34-C36)/C$6)</f>
        <v>0.4348820436919674</v>
      </c>
      <c r="D43" s="313">
        <f>SUM((D34-D36)/D$6)</f>
        <v>0.34312490166337334</v>
      </c>
      <c r="E43" s="313">
        <f>SUM((E34-E36)/E$6)</f>
        <v>0.37544318938786775</v>
      </c>
      <c r="F43" s="313" t="s">
        <v>14</v>
      </c>
      <c r="G43" s="313" t="s">
        <v>14</v>
      </c>
      <c r="H43" s="313" t="s">
        <v>14</v>
      </c>
      <c r="I43" s="313" t="s">
        <v>14</v>
      </c>
      <c r="J43" s="313" t="s">
        <v>14</v>
      </c>
      <c r="K43" s="313" t="s">
        <v>14</v>
      </c>
      <c r="L43" s="313" t="s">
        <v>14</v>
      </c>
      <c r="M43" s="313" t="s">
        <v>14</v>
      </c>
      <c r="N43" s="313" t="s">
        <v>14</v>
      </c>
      <c r="O43" s="313" t="s">
        <v>14</v>
      </c>
      <c r="P43" s="313" t="s">
        <v>14</v>
      </c>
      <c r="Q43" s="313" t="s">
        <v>14</v>
      </c>
      <c r="R43" s="313" t="s">
        <v>14</v>
      </c>
      <c r="S43" s="313" t="s">
        <v>14</v>
      </c>
      <c r="T43" s="313" t="s">
        <v>14</v>
      </c>
      <c r="U43" s="313" t="s">
        <v>14</v>
      </c>
      <c r="V43" s="313" t="s">
        <v>14</v>
      </c>
      <c r="W43" s="313" t="s">
        <v>14</v>
      </c>
      <c r="X43" s="313" t="s">
        <v>14</v>
      </c>
    </row>
    <row r="44" spans="2:24" ht="41.25" customHeight="1">
      <c r="B44" s="302" t="s">
        <v>453</v>
      </c>
      <c r="C44" s="313">
        <f>SUM(C15/C6)</f>
        <v>0.12451657271756549</v>
      </c>
      <c r="D44" s="313">
        <f>SUM(D15/D6)</f>
        <v>0.11696411493190303</v>
      </c>
      <c r="E44" s="313">
        <f>SUM(E15/E6)</f>
        <v>0.12670671641693948</v>
      </c>
      <c r="F44" s="313" t="s">
        <v>14</v>
      </c>
      <c r="G44" s="313" t="s">
        <v>14</v>
      </c>
      <c r="H44" s="313" t="s">
        <v>14</v>
      </c>
      <c r="I44" s="313" t="s">
        <v>14</v>
      </c>
      <c r="J44" s="313" t="s">
        <v>14</v>
      </c>
      <c r="K44" s="313" t="s">
        <v>14</v>
      </c>
      <c r="L44" s="313" t="s">
        <v>14</v>
      </c>
      <c r="M44" s="313" t="s">
        <v>14</v>
      </c>
      <c r="N44" s="313" t="s">
        <v>14</v>
      </c>
      <c r="O44" s="313" t="s">
        <v>14</v>
      </c>
      <c r="P44" s="313" t="s">
        <v>14</v>
      </c>
      <c r="Q44" s="313" t="s">
        <v>14</v>
      </c>
      <c r="R44" s="313" t="s">
        <v>14</v>
      </c>
      <c r="S44" s="313" t="s">
        <v>14</v>
      </c>
      <c r="T44" s="313" t="s">
        <v>14</v>
      </c>
      <c r="U44" s="313" t="s">
        <v>14</v>
      </c>
      <c r="V44" s="313" t="s">
        <v>14</v>
      </c>
      <c r="W44" s="313" t="s">
        <v>14</v>
      </c>
      <c r="X44" s="313" t="s">
        <v>14</v>
      </c>
    </row>
    <row r="45" spans="2:24" ht="51" customHeight="1">
      <c r="B45" s="302" t="s">
        <v>454</v>
      </c>
      <c r="C45" s="313">
        <v>0.08276115841166476</v>
      </c>
      <c r="D45" s="313">
        <v>0.1051869566527987</v>
      </c>
      <c r="E45" s="313">
        <f>SUM((E15-E18-E22)/E6)</f>
        <v>0.10959739389808382</v>
      </c>
      <c r="F45" s="313">
        <f>SUM((F15-F18-F22-F28)/F6)</f>
        <v>0.09394821536541503</v>
      </c>
      <c r="G45" s="313">
        <f>SUM((G15-G18-G22)/G6)</f>
        <v>0.057345801315771695</v>
      </c>
      <c r="H45" s="313">
        <f>SUM((H15-H18-H22)/H6)</f>
        <v>0.052778311045810086</v>
      </c>
      <c r="I45" s="313">
        <f>SUM((I15-I18-I22)/I6)</f>
        <v>0.04843335875925754</v>
      </c>
      <c r="J45" s="313">
        <f>SUM((J15-J18-J22)/J6)</f>
        <v>0.044301700303986405</v>
      </c>
      <c r="K45" s="313">
        <f>SUM((K15-K18-K22)/K6)</f>
        <v>0.04037451441184194</v>
      </c>
      <c r="L45" s="313">
        <f>SUM((L15-L18-L22)/L6)</f>
        <v>0.030773874853692817</v>
      </c>
      <c r="M45" s="313">
        <f>SUM((M15-M18-M22)/M6)</f>
        <v>0.014663968090805342</v>
      </c>
      <c r="N45" s="313">
        <f>SUM((N15-N18-N22)/N6)</f>
        <v>0.013612429945863869</v>
      </c>
      <c r="O45" s="313">
        <f>SUM((O15-O18-O22)/O6)</f>
        <v>0.012610808188849089</v>
      </c>
      <c r="P45" s="313">
        <f>SUM((P15-P18-P22)/P6)</f>
        <v>0.01165705365182211</v>
      </c>
      <c r="Q45" s="313">
        <f>SUM((Q15-Q18-Q22)/Q6)</f>
        <v>0.010749195206710062</v>
      </c>
      <c r="R45" s="313">
        <f>SUM((R15-R18-R22)/R6)</f>
        <v>0.00988533692680802</v>
      </c>
      <c r="S45" s="313">
        <f>SUM((S15-S18-S22)/S6)</f>
        <v>0.009063655348363217</v>
      </c>
      <c r="T45" s="313">
        <f>SUM((T15-T18-T22)/T6)</f>
        <v>0.008282396828791054</v>
      </c>
      <c r="U45" s="313">
        <f>SUM((U15-U18-U22)/U6)</f>
        <v>0.00753987499818942</v>
      </c>
      <c r="V45" s="313">
        <f>SUM((V15-V18-V22)/V6)</f>
        <v>0.006834468300930824</v>
      </c>
      <c r="W45" s="313">
        <f>SUM((W15-W18-W22)/W6)</f>
        <v>0.006164315672086837</v>
      </c>
      <c r="X45" s="313">
        <f>SUM((X15-X18-X22)/X6)</f>
        <v>0.0024215306820585545</v>
      </c>
    </row>
    <row r="46" spans="2:24" ht="40.5" customHeight="1">
      <c r="B46" s="302" t="s">
        <v>455</v>
      </c>
      <c r="C46" s="315">
        <v>0.0845167385672977</v>
      </c>
      <c r="D46" s="315">
        <v>0.07029718109259919</v>
      </c>
      <c r="E46" s="315">
        <v>0.060063334936659774</v>
      </c>
      <c r="F46" s="315">
        <f>IF(C6=0,0,(((E7+E9-E11)/E6)+((D7+D9-D11)/D6)+((C7+C9-C11)/C6))/3)</f>
        <v>0.14453164565348917</v>
      </c>
      <c r="G46" s="315">
        <f>IF(D6=0,0,(((F7+F9-F11)/F6)+((E7+E9-E11)/E6)+((D7+D9-D11)/D6))/3)</f>
        <v>0.17166048347437424</v>
      </c>
      <c r="H46" s="315">
        <f>IF(E6=0,0,(((G7+G9-G11)/G6)+((F7+F9-F11)/F6)+((E7+E9-E11)/E6))/3)</f>
        <v>0.21824727602001825</v>
      </c>
      <c r="I46" s="315">
        <f>IF(F6=0,0,(((H7+H9-H11)/H6)+((G7+G9-G11)/G6)+((F7+F9-F11)/F6))/3)</f>
        <v>0.20199471372363642</v>
      </c>
      <c r="J46" s="315">
        <f>IF(G6=0,0,(((I7+I9-I11)/I6)+((H7+H9-H11)/H6)+((G7+G9-G11)/G6))/3)</f>
        <v>0.2027276560472653</v>
      </c>
      <c r="K46" s="315">
        <f>IF(H6=0,0,(((J7+J9-J11)/J6)+((I7+I9-I11)/I6)+((H7+H9-H11)/H6))/3)</f>
        <v>0.203459962874329</v>
      </c>
      <c r="L46" s="315">
        <f>IF(I6=0,0,(((K7+K9-K11)/K6)+((J7+J9-J11)/J6)+((I7+I9-I11)/I6))/3)</f>
        <v>0.20419163468662724</v>
      </c>
      <c r="M46" s="315">
        <f>IF(J6=0,0,(((L7+L9-L11)/L6)+((K7+K9-K11)/K6)+((J7+J9-J11)/J6))/3)</f>
        <v>0.204922671965722</v>
      </c>
      <c r="N46" s="315">
        <f>IF(K6=0,0,(((M7+M9-M11)/M6)+((L7+L9-L11)/L6)+((K7+K9-K11)/K6))/3)</f>
        <v>0.2056530751929372</v>
      </c>
      <c r="O46" s="315">
        <f>IF(L6=0,0,(((N7+N9-N11)/N6)+((M7+M9-M11)/M6)+((L7+L9-L11)/L6))/3)</f>
        <v>0.20638284484935912</v>
      </c>
      <c r="P46" s="315">
        <f>IF(M6=0,0,(((O7+O9-O11)/O6)+((N7+N9-N11)/N6)+((M7+M9-M11)/M6))/3)</f>
        <v>0.20711198141583556</v>
      </c>
      <c r="Q46" s="315">
        <f>IF(N6=0,0,(((P7+P9-P11)/P6)+((O7+O9-O11)/O6)+((N7+N9-N11)/N6))/3)</f>
        <v>0.20784048537297617</v>
      </c>
      <c r="R46" s="315">
        <f>IF(O6=0,0,(((Q7+Q9-Q11)/Q6)+((P7+P9-P11)/P6)+((O7+O9-O11)/O6))/3)</f>
        <v>0.20856835720115222</v>
      </c>
      <c r="S46" s="315">
        <f>IF(P6=0,0,(((R7+R9-R11)/R6)+((Q7+Q9-Q11)/Q6)+((P7+P9-P11)/P6))/3)</f>
        <v>0.20929559738049633</v>
      </c>
      <c r="T46" s="315">
        <f>IF(Q6=0,0,(((S7+S9-S11)/S6)+((R7+R9-R11)/R6)+((Q7+Q9-Q11)/Q6))/3)</f>
        <v>0.2100222063909026</v>
      </c>
      <c r="U46" s="315">
        <f>IF(R6=0,0,(((T7+T9-T11)/T6)+((S7+S9-S11)/S6)+((R7+R9-R11)/R6))/3)</f>
        <v>0.21074818471202628</v>
      </c>
      <c r="V46" s="315">
        <f>IF(S6=0,0,(((U7+U9-U11)/U6)+((T7+T9-T11)/T6)+((S7+S9-S11)/S6))/3)</f>
        <v>0.21147353282328366</v>
      </c>
      <c r="W46" s="315">
        <f>IF(T6=0,0,(((V7+V9-V11)/V6)+((U7+U9-U11)/U6)+((T7+T9-T11)/T6))/3)</f>
        <v>0.21219825120385202</v>
      </c>
      <c r="X46" s="315">
        <f>IF(U6=0,0,(((W7+W9-W11)/W6)+((V7+V9-V11)/V6)+((U7+U9-U11)/U6))/3)</f>
        <v>0.21292234033266952</v>
      </c>
    </row>
    <row r="47" spans="2:24" ht="42" customHeight="1">
      <c r="B47" s="302" t="s">
        <v>456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457</v>
      </c>
      <c r="C51" t="s">
        <v>458</v>
      </c>
    </row>
    <row r="52" ht="12.75">
      <c r="B52" s="316" t="str">
        <f>E2</f>
        <v>02 lutego 2012</v>
      </c>
    </row>
    <row r="58" spans="3:24" ht="12.75">
      <c r="C58" s="162">
        <v>2011</v>
      </c>
      <c r="D58" s="162">
        <v>2012</v>
      </c>
      <c r="E58" s="162">
        <v>2013</v>
      </c>
      <c r="F58" s="162">
        <v>2014</v>
      </c>
      <c r="G58" s="162">
        <v>2015</v>
      </c>
      <c r="H58" s="162">
        <v>2016</v>
      </c>
      <c r="I58" s="162">
        <v>2017</v>
      </c>
      <c r="J58" s="162">
        <v>2018</v>
      </c>
      <c r="K58" s="162">
        <v>2019</v>
      </c>
      <c r="L58" s="162">
        <v>2020</v>
      </c>
      <c r="M58" s="162">
        <v>2021</v>
      </c>
      <c r="N58" s="162">
        <v>2022</v>
      </c>
      <c r="O58" s="162">
        <v>2023</v>
      </c>
      <c r="P58" s="162">
        <v>2024</v>
      </c>
      <c r="Q58" s="162">
        <v>2025</v>
      </c>
      <c r="R58" s="162">
        <v>2026</v>
      </c>
      <c r="S58" s="162">
        <v>2027</v>
      </c>
      <c r="T58" s="162">
        <v>2028</v>
      </c>
      <c r="U58" s="162">
        <v>2029</v>
      </c>
      <c r="V58" s="162">
        <v>2030</v>
      </c>
      <c r="W58" s="162">
        <v>2031</v>
      </c>
      <c r="X58" s="162">
        <v>2032</v>
      </c>
    </row>
    <row r="59" spans="2:25" ht="12.75">
      <c r="B59" s="150" t="s">
        <v>459</v>
      </c>
      <c r="C59" s="317">
        <f>zał2!E70+zał2!E71</f>
        <v>6701134</v>
      </c>
      <c r="D59" s="317">
        <f>zał2!F70+zał2!F71</f>
        <v>7281140.890000001</v>
      </c>
      <c r="E59" s="317">
        <f>zał2!G70+zał2!G71</f>
        <v>5436134.04</v>
      </c>
      <c r="F59" s="317">
        <f>zał2!H70+zał2!H71</f>
        <v>5436134.84</v>
      </c>
      <c r="G59" s="317">
        <f>zał2!I70+zał2!I71</f>
        <v>3034270.84</v>
      </c>
      <c r="H59" s="317">
        <f>zał2!J70+zał2!J71</f>
        <v>3034270.84</v>
      </c>
      <c r="I59" s="317">
        <f>zał2!K70+zał2!K71</f>
        <v>3034270.84</v>
      </c>
      <c r="J59" s="317">
        <f>zał2!L70+zał2!L71</f>
        <v>3034270.84</v>
      </c>
      <c r="K59" s="317">
        <f>zał2!M70+zał2!M71</f>
        <v>3034279.84</v>
      </c>
      <c r="L59" s="317">
        <f>zał2!N70+zał2!N71</f>
        <v>2019326.73</v>
      </c>
      <c r="M59" s="317">
        <f>zał2!O70+zał2!O71</f>
        <v>471848</v>
      </c>
      <c r="N59" s="317">
        <f>zał2!P70+zał2!P71</f>
        <v>471848</v>
      </c>
      <c r="O59" s="317">
        <f>zał2!Q70+zał2!Q71</f>
        <v>471848</v>
      </c>
      <c r="P59" s="317">
        <f>zał2!R70+zał2!R71</f>
        <v>471848</v>
      </c>
      <c r="Q59" s="317">
        <f>zał2!S70+zał2!S71</f>
        <v>471848</v>
      </c>
      <c r="R59" s="317">
        <f>zał2!T70+zał2!T71</f>
        <v>471848</v>
      </c>
      <c r="S59" s="317">
        <f>zał2!U70+zał2!U71</f>
        <v>471848</v>
      </c>
      <c r="T59" s="317">
        <f>zał2!V70+zał2!V71</f>
        <v>471848</v>
      </c>
      <c r="U59" s="317">
        <f>zał2!W70+zał2!W71</f>
        <v>471848</v>
      </c>
      <c r="V59" s="317">
        <f>zał2!X70+zał2!X71</f>
        <v>471848</v>
      </c>
      <c r="W59" s="317">
        <f>zał2!Y70+zał2!Y71</f>
        <v>471860</v>
      </c>
      <c r="X59" s="317">
        <f>zał2!Z70+zał2!Z71</f>
        <v>0</v>
      </c>
      <c r="Y59" s="317"/>
    </row>
    <row r="60" spans="2:24" ht="12.75">
      <c r="B60" s="150" t="s">
        <v>460</v>
      </c>
      <c r="C60" s="318">
        <f>zał2!E78+zał2!E79+zał2!E77</f>
        <v>1974529.9</v>
      </c>
      <c r="D60" s="318">
        <f>zał2!F78+zał2!F79+zał2!F77</f>
        <v>1245956.9</v>
      </c>
      <c r="E60" s="318">
        <f>zał2!G78+zał2!G79+zał2!G77</f>
        <v>1083800.9</v>
      </c>
      <c r="F60" s="318">
        <f>zał2!H78+zał2!H79+zał2!H77</f>
        <v>1083800.9</v>
      </c>
      <c r="G60" s="318">
        <f>zał2!I78+zał2!I79+zał2!I77</f>
        <v>860083.9</v>
      </c>
      <c r="H60" s="318">
        <f>zał2!J78+zał2!J79+zał2!J77</f>
        <v>860083.9</v>
      </c>
      <c r="I60" s="318">
        <f>zał2!K78+zał2!K79+zał2!K77</f>
        <v>860083.9</v>
      </c>
      <c r="J60" s="318">
        <f>zał2!L78+zał2!L79+zał2!L77</f>
        <v>860083.9</v>
      </c>
      <c r="K60" s="318">
        <f>zał2!M78+zał2!M79+zał2!M77</f>
        <v>860086.9</v>
      </c>
      <c r="L60" s="318">
        <f>zał2!N78+zał2!N79+zał2!N77</f>
        <v>388668.9</v>
      </c>
      <c r="M60" s="318">
        <f>zał2!O78+zał2!O79+zał2!O77</f>
        <v>75188</v>
      </c>
      <c r="N60" s="318">
        <f>zał2!P78+zał2!P79+zał2!P77</f>
        <v>75188</v>
      </c>
      <c r="O60" s="318">
        <f>zał2!Q78+zał2!Q79+zał2!Q77</f>
        <v>75188</v>
      </c>
      <c r="P60" s="318">
        <f>zał2!R78+zał2!R79+zał2!R77</f>
        <v>75188</v>
      </c>
      <c r="Q60" s="318">
        <f>zał2!S78+zał2!S79+zał2!S77</f>
        <v>75188</v>
      </c>
      <c r="R60" s="318">
        <f>zał2!T78+zał2!T79+zał2!T77</f>
        <v>75188</v>
      </c>
      <c r="S60" s="318">
        <f>zał2!U78+zał2!U79+zał2!U77</f>
        <v>75188</v>
      </c>
      <c r="T60" s="318">
        <f>zał2!V78+zał2!V79+zał2!V77</f>
        <v>75188</v>
      </c>
      <c r="U60" s="318">
        <f>zał2!W78+zał2!W79+zał2!W77</f>
        <v>75188</v>
      </c>
      <c r="V60" s="318">
        <f>zał2!X78+zał2!X79+zał2!X77</f>
        <v>75188</v>
      </c>
      <c r="W60" s="318">
        <f>zał2!Y78+zał2!Y79+zał2!Y77</f>
        <v>75234</v>
      </c>
      <c r="X60" s="318">
        <f>zał2!Z78+zał2!Z79+zał2!Z77</f>
        <v>0</v>
      </c>
    </row>
    <row r="61" spans="2:25" ht="12.75">
      <c r="B61" s="319" t="s">
        <v>461</v>
      </c>
      <c r="C61" s="320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462</v>
      </c>
    </row>
    <row r="62" spans="2:23" ht="12.75">
      <c r="B62" s="150" t="s">
        <v>463</v>
      </c>
      <c r="C62" s="321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464</v>
      </c>
      <c r="C63" s="236">
        <f>zał2!E72</f>
        <v>0</v>
      </c>
      <c r="D63" s="236">
        <f>zał2!F72</f>
        <v>0</v>
      </c>
      <c r="E63" s="322">
        <f>zał2!G72</f>
        <v>418691.39450000005</v>
      </c>
      <c r="F63" s="322">
        <f>zał2!H72</f>
        <v>418691.39450000005</v>
      </c>
      <c r="G63" s="322">
        <f>zał2!I72</f>
        <v>418691.39450000005</v>
      </c>
      <c r="H63" s="322">
        <f>zał2!J72</f>
        <v>418691.39450000005</v>
      </c>
      <c r="I63" s="322">
        <f>zał2!K72</f>
        <v>418691.39450000005</v>
      </c>
      <c r="J63" s="322">
        <f>zał2!L72</f>
        <v>418691.39450000005</v>
      </c>
      <c r="K63" s="322">
        <f>zał2!M72</f>
        <v>418691.39450000005</v>
      </c>
      <c r="L63" s="322">
        <f>zał2!N72</f>
        <v>418691.39450000005</v>
      </c>
      <c r="M63" s="322">
        <f>zał2!O72</f>
        <v>418691.39450000005</v>
      </c>
      <c r="N63" s="322">
        <f>zał2!P72</f>
        <v>418691.39450000005</v>
      </c>
      <c r="O63" s="322">
        <f>zał2!Q72</f>
        <v>418691.39450000005</v>
      </c>
      <c r="P63" s="322">
        <f>zał2!R72</f>
        <v>418691.39450000005</v>
      </c>
      <c r="Q63" s="322">
        <f>zał2!S72</f>
        <v>418691.39450000005</v>
      </c>
      <c r="R63" s="322">
        <f>zał2!T72</f>
        <v>418691.39450000005</v>
      </c>
      <c r="S63" s="322">
        <f>zał2!U72</f>
        <v>418691.39450000005</v>
      </c>
      <c r="T63" s="322">
        <f>zał2!V72</f>
        <v>418691.39450000005</v>
      </c>
      <c r="U63" s="322">
        <f>zał2!W72</f>
        <v>418691.39450000005</v>
      </c>
      <c r="V63" s="322">
        <f>zał2!X72</f>
        <v>418691.39450000005</v>
      </c>
      <c r="W63" s="322">
        <f>zał2!Y72</f>
        <v>418691.39450000005</v>
      </c>
      <c r="X63" s="322">
        <f>zał2!Z72</f>
        <v>418691.39450000005</v>
      </c>
      <c r="Y63" s="195">
        <f>SUM(D63:X63)</f>
        <v>8373827.890000003</v>
      </c>
    </row>
    <row r="64" spans="2:25" ht="12.75">
      <c r="B64" s="150" t="s">
        <v>460</v>
      </c>
      <c r="C64" s="236">
        <f>zał2!E80</f>
        <v>0</v>
      </c>
      <c r="D64" s="236">
        <f>zał2!F80</f>
        <v>0</v>
      </c>
      <c r="E64" s="236">
        <f>zał2!G80</f>
        <v>131634.35</v>
      </c>
      <c r="F64" s="236">
        <f>zał2!H80</f>
        <v>131634.35</v>
      </c>
      <c r="G64" s="236">
        <f>zał2!I80</f>
        <v>131634.35</v>
      </c>
      <c r="H64" s="236">
        <f>zał2!J80</f>
        <v>131634.35</v>
      </c>
      <c r="I64" s="236">
        <f>zał2!K80</f>
        <v>131634.35</v>
      </c>
      <c r="J64" s="236">
        <f>zał2!L80</f>
        <v>131634.35</v>
      </c>
      <c r="K64" s="236">
        <f>zał2!M80</f>
        <v>131634.35</v>
      </c>
      <c r="L64" s="236">
        <f>zał2!N80</f>
        <v>131634.35</v>
      </c>
      <c r="M64" s="236">
        <f>zał2!O80</f>
        <v>131634.35</v>
      </c>
      <c r="N64" s="236">
        <f>zał2!P80</f>
        <v>131634.35</v>
      </c>
      <c r="O64" s="236">
        <f>zał2!Q80</f>
        <v>131634.35</v>
      </c>
      <c r="P64" s="236">
        <f>zał2!R80</f>
        <v>131634.35</v>
      </c>
      <c r="Q64" s="236">
        <f>zał2!S80</f>
        <v>131634.35</v>
      </c>
      <c r="R64" s="236">
        <f>zał2!T80</f>
        <v>131634.35</v>
      </c>
      <c r="S64" s="236">
        <f>zał2!U80</f>
        <v>131634.35</v>
      </c>
      <c r="T64" s="236">
        <f>zał2!V80</f>
        <v>131634.35</v>
      </c>
      <c r="U64" s="236">
        <f>zał2!W80</f>
        <v>131634.35</v>
      </c>
      <c r="V64" s="236">
        <f>zał2!X80</f>
        <v>131634.35</v>
      </c>
      <c r="W64" s="236">
        <f>zał2!Y80</f>
        <v>131634.35</v>
      </c>
      <c r="X64" s="236">
        <f>zał2!Z80</f>
        <v>131634.35</v>
      </c>
      <c r="Y64" s="195">
        <f>SUM(D64:X64)</f>
        <v>2632687.000000001</v>
      </c>
    </row>
    <row r="65" spans="2:24" ht="12.75">
      <c r="B65" s="150" t="s">
        <v>465</v>
      </c>
      <c r="C65" s="320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466</v>
      </c>
      <c r="C66" s="323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460</v>
      </c>
      <c r="C67" s="324">
        <f>zał2!C80</f>
        <v>2632687</v>
      </c>
      <c r="D67" s="219">
        <f>SUM(C67-D64)</f>
        <v>2632687</v>
      </c>
      <c r="E67" s="219">
        <f>SUM(D67-E64)</f>
        <v>2501052.65</v>
      </c>
      <c r="F67" s="219">
        <f>SUM(E67-F64)</f>
        <v>2369418.3</v>
      </c>
      <c r="G67" s="219">
        <f>SUM(F67-G64)</f>
        <v>2237783.9499999997</v>
      </c>
      <c r="H67" s="219">
        <f>SUM(G67-H64)</f>
        <v>2106149.5999999996</v>
      </c>
      <c r="I67" s="219">
        <f>SUM(H67-I64)</f>
        <v>1974515.2499999995</v>
      </c>
      <c r="J67" s="219">
        <f>SUM(I67-J64)</f>
        <v>1842880.8999999994</v>
      </c>
      <c r="K67" s="219">
        <f>SUM(J67-K64)</f>
        <v>1711246.5499999993</v>
      </c>
      <c r="L67" s="219">
        <f>SUM(K67-L64)</f>
        <v>1579612.1999999993</v>
      </c>
      <c r="M67" s="219">
        <f>SUM(L67-M64)</f>
        <v>1447977.8499999992</v>
      </c>
      <c r="N67" s="219">
        <f>SUM(M67-N64)</f>
        <v>1316343.499999999</v>
      </c>
      <c r="O67" s="219">
        <f>SUM(N67-O64)</f>
        <v>1184709.149999999</v>
      </c>
      <c r="P67" s="219">
        <f>SUM(O67-P64)</f>
        <v>1053074.7999999989</v>
      </c>
      <c r="Q67" s="219">
        <f>SUM(P67-Q64)</f>
        <v>921440.4499999989</v>
      </c>
      <c r="R67" s="219">
        <f>SUM(Q67-R64)</f>
        <v>789806.0999999989</v>
      </c>
      <c r="S67" s="219">
        <f>SUM(R67-S64)</f>
        <v>658171.749999999</v>
      </c>
      <c r="T67" s="219">
        <f>SUM(S67-T64)</f>
        <v>526537.399999999</v>
      </c>
      <c r="U67" s="219">
        <f>SUM(T67-U64)</f>
        <v>394903.049999999</v>
      </c>
      <c r="V67" s="219">
        <f>SUM(U67-V64)</f>
        <v>263268.699999999</v>
      </c>
      <c r="W67" s="219">
        <f>SUM(V67-W64)</f>
        <v>131634.34999999902</v>
      </c>
      <c r="X67" s="219"/>
      <c r="Y67" t="s">
        <v>462</v>
      </c>
    </row>
    <row r="68" spans="2:25" ht="12.75">
      <c r="B68" s="150" t="s">
        <v>467</v>
      </c>
      <c r="C68" s="325"/>
      <c r="D68" s="326"/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f>SUM(E68:X68)</f>
        <v>0</v>
      </c>
    </row>
    <row r="69" spans="2:25" ht="12.75">
      <c r="B69" s="150" t="s">
        <v>460</v>
      </c>
      <c r="C69" s="326"/>
      <c r="D69" s="326"/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v>0</v>
      </c>
      <c r="U69" s="219">
        <v>0</v>
      </c>
      <c r="V69" s="219">
        <v>0</v>
      </c>
      <c r="W69" s="219">
        <v>0</v>
      </c>
      <c r="X69" s="219">
        <v>0</v>
      </c>
      <c r="Y69" s="219">
        <f>SUM(E69:X69)</f>
        <v>0</v>
      </c>
    </row>
    <row r="70" spans="2:24" ht="12.75">
      <c r="B70" s="150" t="s">
        <v>468</v>
      </c>
      <c r="C70" s="324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469</v>
      </c>
      <c r="C71" s="324"/>
      <c r="D71" s="324">
        <v>0</v>
      </c>
      <c r="E71" s="324">
        <v>0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24">
        <v>0</v>
      </c>
      <c r="L71" s="324">
        <v>0</v>
      </c>
      <c r="M71" s="324">
        <v>0</v>
      </c>
      <c r="N71" s="324">
        <v>0</v>
      </c>
      <c r="O71" s="324">
        <v>0</v>
      </c>
      <c r="P71" s="324">
        <v>0</v>
      </c>
      <c r="Q71" s="324">
        <v>0</v>
      </c>
      <c r="R71" s="324">
        <v>0</v>
      </c>
      <c r="S71" s="324">
        <v>0</v>
      </c>
      <c r="T71" s="324">
        <v>0</v>
      </c>
      <c r="U71" s="324">
        <v>0</v>
      </c>
      <c r="V71" s="324">
        <v>0</v>
      </c>
      <c r="W71" s="324">
        <v>0</v>
      </c>
      <c r="X71" s="324">
        <v>0</v>
      </c>
    </row>
    <row r="72" spans="2:24" ht="12.75">
      <c r="B72" s="150" t="s">
        <v>460</v>
      </c>
      <c r="C72" s="324"/>
      <c r="D72" s="327">
        <v>0</v>
      </c>
      <c r="E72" s="324">
        <v>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24">
        <v>0</v>
      </c>
      <c r="O72" s="324">
        <v>0</v>
      </c>
      <c r="P72" s="324">
        <v>0</v>
      </c>
      <c r="Q72" s="324">
        <v>0</v>
      </c>
      <c r="R72" s="324">
        <v>0</v>
      </c>
      <c r="S72" s="324">
        <v>0</v>
      </c>
      <c r="T72" s="324">
        <v>0</v>
      </c>
      <c r="U72" s="324">
        <v>0</v>
      </c>
      <c r="V72" s="324">
        <v>0</v>
      </c>
      <c r="W72" s="324">
        <v>0</v>
      </c>
      <c r="X72" s="324">
        <v>0</v>
      </c>
    </row>
    <row r="73" spans="2:24" ht="12.75">
      <c r="B73" s="150" t="s">
        <v>470</v>
      </c>
      <c r="C73" s="328">
        <f>zał2!E49</f>
        <v>40534439.7</v>
      </c>
      <c r="D73" s="219">
        <f>SUM(D62+D66)</f>
        <v>41627126.7</v>
      </c>
      <c r="E73" s="219">
        <f>SUM(E62+E66)</f>
        <v>35772301.2655</v>
      </c>
      <c r="F73" s="219">
        <f>SUM(F62+F66)</f>
        <v>29917475.031000003</v>
      </c>
      <c r="G73" s="219">
        <f>SUM(G62+G66)</f>
        <v>26464512.796500005</v>
      </c>
      <c r="H73" s="219">
        <f>SUM(H62+H66)</f>
        <v>23011550.562000003</v>
      </c>
      <c r="I73" s="219">
        <f>SUM(I62+I66)</f>
        <v>19558588.3275</v>
      </c>
      <c r="J73" s="219">
        <f>SUM(J62+J66)</f>
        <v>16105626.093000002</v>
      </c>
      <c r="K73" s="219">
        <f>SUM(K62+K66)</f>
        <v>12652654.858500002</v>
      </c>
      <c r="L73" s="219">
        <f>SUM(L62+L66)</f>
        <v>10214636.734000001</v>
      </c>
      <c r="M73" s="219">
        <f>SUM(M62+M66)</f>
        <v>9324097.3395</v>
      </c>
      <c r="N73" s="219">
        <f>SUM(N62+N66)</f>
        <v>8433557.945</v>
      </c>
      <c r="O73" s="219">
        <f>SUM(O62+O66)</f>
        <v>7543018.550500001</v>
      </c>
      <c r="P73" s="219">
        <f>SUM(P62+P66)</f>
        <v>6652479.156000001</v>
      </c>
      <c r="Q73" s="219">
        <f>SUM(Q62+Q66)</f>
        <v>5761939.761500001</v>
      </c>
      <c r="R73" s="219">
        <f>SUM(R62+R66)</f>
        <v>4871400.367000001</v>
      </c>
      <c r="S73" s="219">
        <f>SUM(S62+S66)</f>
        <v>3980860.972500001</v>
      </c>
      <c r="T73" s="219">
        <f>SUM(T62+T66)</f>
        <v>3090321.578000001</v>
      </c>
      <c r="U73" s="219">
        <f>SUM(U62+U66)</f>
        <v>2199782.183500001</v>
      </c>
      <c r="V73" s="219">
        <f>SUM(V62+V66)</f>
        <v>1309242.7890000013</v>
      </c>
      <c r="W73" s="219">
        <f>SUM(W62+W66)</f>
        <v>418691.3945000011</v>
      </c>
      <c r="X73" s="219">
        <f>SUM(X62+X66)</f>
        <v>0</v>
      </c>
    </row>
    <row r="74" spans="2:24" ht="12.75">
      <c r="B74" s="150" t="s">
        <v>471</v>
      </c>
      <c r="C74" s="328">
        <f>zał2!E50</f>
        <v>8929764.1</v>
      </c>
      <c r="D74" s="219">
        <f>zał2!F50</f>
        <v>10316494.2</v>
      </c>
      <c r="E74" s="219">
        <f>zał2!G50</f>
        <v>9101058.95</v>
      </c>
      <c r="F74" s="219">
        <f>zał2!H50</f>
        <v>7885623.699999999</v>
      </c>
      <c r="G74" s="219">
        <f>zał2!I50</f>
        <v>6893905.449999999</v>
      </c>
      <c r="H74" s="219">
        <f>zał2!J50</f>
        <v>5902187.199999999</v>
      </c>
      <c r="I74" s="219">
        <f>zał2!K50</f>
        <v>4910468.949999999</v>
      </c>
      <c r="J74" s="219">
        <f>zał2!L50</f>
        <v>3918750.6999999993</v>
      </c>
      <c r="K74" s="219">
        <f>zał2!M50</f>
        <v>2927029.4499999993</v>
      </c>
      <c r="L74" s="219">
        <f>zał2!N50</f>
        <v>2406726.1999999993</v>
      </c>
      <c r="M74" s="219">
        <f>zał2!O50</f>
        <v>2199903.849999999</v>
      </c>
      <c r="N74" s="219">
        <f>zał2!P50</f>
        <v>1993081.499999999</v>
      </c>
      <c r="O74" s="219">
        <f>zał2!Q50</f>
        <v>1786259.149999999</v>
      </c>
      <c r="P74" s="219">
        <f>zał2!R50</f>
        <v>1579436.7999999989</v>
      </c>
      <c r="Q74" s="219">
        <f>zał2!S50</f>
        <v>1372614.4499999988</v>
      </c>
      <c r="R74" s="219">
        <f>zał2!T50</f>
        <v>1165792.0999999987</v>
      </c>
      <c r="S74" s="219">
        <f>zał2!U50</f>
        <v>958969.7499999987</v>
      </c>
      <c r="T74" s="219">
        <f>zał2!V50</f>
        <v>752147.3999999987</v>
      </c>
      <c r="U74" s="219">
        <f>zał2!W50</f>
        <v>545325.0499999988</v>
      </c>
      <c r="V74" s="219">
        <f>zał2!X50</f>
        <v>338502.6999999988</v>
      </c>
      <c r="W74" s="219">
        <f>zał2!Y50</f>
        <v>131634.34999999878</v>
      </c>
      <c r="X74" s="219">
        <f>zał2!Z50</f>
        <v>-1.2223608791828156E-09</v>
      </c>
    </row>
    <row r="76" spans="2:24" ht="12.75">
      <c r="B76" s="150" t="s">
        <v>472</v>
      </c>
      <c r="C76" s="329">
        <f>zał2!E40</f>
        <v>1650727.24</v>
      </c>
      <c r="D76" s="329">
        <f>zał2!F40</f>
        <v>2200000</v>
      </c>
      <c r="E76" s="329">
        <f>zał2!G40</f>
        <v>2146338.07593</v>
      </c>
      <c r="F76" s="329">
        <f>zał2!H40</f>
        <v>1795048.5018600002</v>
      </c>
      <c r="G76" s="329">
        <f>zał2!I40</f>
        <v>1587870.7677900002</v>
      </c>
      <c r="H76" s="329">
        <f>zał2!J40</f>
        <v>1380693.0337200004</v>
      </c>
      <c r="I76" s="329">
        <f>zał2!K40</f>
        <v>1173515.2996500004</v>
      </c>
      <c r="J76" s="329">
        <f>zał2!L40</f>
        <v>966337.5655800004</v>
      </c>
      <c r="K76" s="329">
        <f>zał2!M40</f>
        <v>759159.2915100005</v>
      </c>
      <c r="L76" s="329">
        <f>zał2!N40</f>
        <v>612878.2040400004</v>
      </c>
      <c r="M76" s="329">
        <f>zał2!O40</f>
        <v>559445.8403700005</v>
      </c>
      <c r="N76" s="329">
        <f>zał2!P40</f>
        <v>506013.47670000046</v>
      </c>
      <c r="O76" s="329">
        <f>zał2!Q40</f>
        <v>452581.1130300004</v>
      </c>
      <c r="P76" s="329">
        <f>zał2!R40</f>
        <v>399148.7493600004</v>
      </c>
      <c r="Q76" s="329">
        <f>zał2!S40</f>
        <v>345716.3856900004</v>
      </c>
      <c r="R76" s="329">
        <f>zał2!T40</f>
        <v>292284.0220200004</v>
      </c>
      <c r="S76" s="329">
        <f>zał2!U40</f>
        <v>238851.65835000036</v>
      </c>
      <c r="T76" s="329">
        <f>zał2!V40</f>
        <v>185419.29468000037</v>
      </c>
      <c r="U76" s="329">
        <f>zał2!W40</f>
        <v>131986.93101000038</v>
      </c>
      <c r="V76" s="329">
        <f>zał2!X40</f>
        <v>78554.56734000039</v>
      </c>
      <c r="W76" s="329">
        <f>zał2!Y40</f>
        <v>25121.48367000038</v>
      </c>
      <c r="X76" s="329">
        <f>zał2!Z40</f>
        <v>0</v>
      </c>
    </row>
    <row r="77" spans="2:24" ht="12.75">
      <c r="B77" s="150" t="s">
        <v>473</v>
      </c>
      <c r="C77" s="330">
        <v>300000</v>
      </c>
      <c r="D77" s="330">
        <f>SUM(D78-D76)</f>
        <v>200000</v>
      </c>
      <c r="E77" s="330">
        <f>SUM(E78-E76)</f>
        <v>0</v>
      </c>
      <c r="F77" s="330">
        <f>SUM(F78-F76)</f>
        <v>0</v>
      </c>
      <c r="G77" s="330">
        <f>SUM(G78-G76)</f>
        <v>0</v>
      </c>
      <c r="H77" s="330">
        <f>SUM(H78-H76)</f>
        <v>0</v>
      </c>
      <c r="I77" s="330">
        <f>SUM(I78-I76)</f>
        <v>0</v>
      </c>
      <c r="J77" s="330">
        <f>SUM(J78-J76)</f>
        <v>0</v>
      </c>
      <c r="K77" s="330">
        <f>SUM(K78-K76)</f>
        <v>0</v>
      </c>
      <c r="L77" s="330">
        <f>SUM(L78-L76)</f>
        <v>0</v>
      </c>
      <c r="M77" s="330">
        <f>SUM(M78-M76)</f>
        <v>0</v>
      </c>
      <c r="N77" s="330">
        <f>SUM(N78-N76)</f>
        <v>0</v>
      </c>
      <c r="O77" s="330">
        <f>SUM(O78-O76)</f>
        <v>0</v>
      </c>
      <c r="P77" s="330">
        <f>SUM(P78-P76)</f>
        <v>0</v>
      </c>
      <c r="Q77" s="330">
        <f>SUM(Q78-Q76)</f>
        <v>0</v>
      </c>
      <c r="R77" s="330">
        <f>SUM(R78-R76)</f>
        <v>0</v>
      </c>
      <c r="S77" s="330">
        <f>SUM(S78-S76)</f>
        <v>0</v>
      </c>
      <c r="T77" s="330">
        <f>SUM(T78-T76)</f>
        <v>0</v>
      </c>
      <c r="U77" s="330">
        <f>SUM(U78-U76)</f>
        <v>0</v>
      </c>
      <c r="V77" s="330">
        <f>SUM(V78-V76)</f>
        <v>0</v>
      </c>
      <c r="W77" s="330">
        <f>SUM(W78-W76)</f>
        <v>0</v>
      </c>
      <c r="X77" s="330">
        <f>SUM(X78-X76)</f>
        <v>0</v>
      </c>
    </row>
    <row r="78" spans="2:24" ht="12.75">
      <c r="B78" s="319" t="s">
        <v>474</v>
      </c>
      <c r="C78" s="328" t="e">
        <f>zał1!#REF!</f>
        <v>#REF!</v>
      </c>
      <c r="D78" s="328">
        <f>zał1!G26</f>
        <v>2400000</v>
      </c>
      <c r="E78" s="328">
        <f>zał1!H26</f>
        <v>2146338.07593</v>
      </c>
      <c r="F78" s="328">
        <f>zał1!I26</f>
        <v>1795048.5018600002</v>
      </c>
      <c r="G78" s="328">
        <f>zał1!J26</f>
        <v>1587870.7677900002</v>
      </c>
      <c r="H78" s="328">
        <f>zał1!K26</f>
        <v>1380693.0337200004</v>
      </c>
      <c r="I78" s="328">
        <f>zał1!L26</f>
        <v>1173515.2996500004</v>
      </c>
      <c r="J78" s="328">
        <f>zał1!M26</f>
        <v>966337.5655800004</v>
      </c>
      <c r="K78" s="328">
        <f>zał1!N26</f>
        <v>759159.2915100005</v>
      </c>
      <c r="L78" s="328">
        <f>zał1!O26</f>
        <v>612878.2040400004</v>
      </c>
      <c r="M78" s="328">
        <f>zał1!P26</f>
        <v>559445.8403700005</v>
      </c>
      <c r="N78" s="328">
        <f>zał1!Q26</f>
        <v>506013.47670000046</v>
      </c>
      <c r="O78" s="328">
        <f>zał1!R26</f>
        <v>452581.1130300004</v>
      </c>
      <c r="P78" s="328">
        <f>zał1!S26</f>
        <v>399148.7493600004</v>
      </c>
      <c r="Q78" s="328">
        <f>zał1!T26</f>
        <v>345716.3856900004</v>
      </c>
      <c r="R78" s="328">
        <f>zał1!U26</f>
        <v>292284.0220200004</v>
      </c>
      <c r="S78" s="328">
        <f>zał1!V26</f>
        <v>238851.65835000036</v>
      </c>
      <c r="T78" s="328">
        <f>zał1!W26</f>
        <v>185419.29468000037</v>
      </c>
      <c r="U78" s="328">
        <f>zał1!X26</f>
        <v>131986.93101000038</v>
      </c>
      <c r="V78" s="328">
        <f>zał1!Y26</f>
        <v>78554.56734000039</v>
      </c>
      <c r="W78" s="328">
        <f>zał1!Z26</f>
        <v>25121.48367000038</v>
      </c>
      <c r="X78" s="328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F13" sqref="F13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7.14062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Zarządzenia  Nr </v>
      </c>
      <c r="Y2" s="54">
        <f>zał3!K2</f>
        <v>0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28 września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12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91251414.13</v>
      </c>
      <c r="G8" s="60">
        <f>G9+G10</f>
        <v>71039355.80503</v>
      </c>
      <c r="H8" s="60">
        <f>H9+H10</f>
        <v>68489214.63098593</v>
      </c>
      <c r="I8" s="60">
        <f>I9+I10</f>
        <v>70608739.6005465</v>
      </c>
      <c r="J8" s="60">
        <f>J9+J10</f>
        <v>72793860.62364343</v>
      </c>
      <c r="K8" s="60">
        <f>K9+K10</f>
        <v>75046607.90132077</v>
      </c>
      <c r="L8" s="60">
        <f>L9+L10</f>
        <v>77369074.47255644</v>
      </c>
      <c r="M8" s="60">
        <f>M9+M10</f>
        <v>79763418.15928927</v>
      </c>
      <c r="N8" s="60">
        <f>N9+N10</f>
        <v>82231863.57165332</v>
      </c>
      <c r="O8" s="60">
        <f>O9+O10</f>
        <v>84776704.17528345</v>
      </c>
      <c r="P8" s="60">
        <f>P9+P10</f>
        <v>87400304.42261335</v>
      </c>
      <c r="Q8" s="60">
        <f>Q9+Q10</f>
        <v>90105101.95014738</v>
      </c>
      <c r="R8" s="60">
        <f>R9+R10</f>
        <v>92893609.84374794</v>
      </c>
      <c r="S8" s="60">
        <f>S9+S10</f>
        <v>95768418.97404452</v>
      </c>
      <c r="T8" s="60">
        <f>T9+T10</f>
        <v>98732200.4041345</v>
      </c>
      <c r="U8" s="60">
        <f>U9+U10</f>
        <v>101787707.8718141</v>
      </c>
      <c r="V8" s="60">
        <f>V9+V10</f>
        <v>104937780.34864631</v>
      </c>
      <c r="W8" s="60">
        <f>W9+W10</f>
        <v>108185344.67824449</v>
      </c>
      <c r="X8" s="60">
        <f>X9+X10</f>
        <v>111533418.29622394</v>
      </c>
      <c r="Y8" s="60">
        <f>Y9+Y10</f>
        <v>114985112.03434935</v>
      </c>
      <c r="Z8" s="60">
        <f>Z9+Z10</f>
        <v>118543633.01148494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57504361+18960+31000+3350-537098+153002+474879.61+73968+308810+29950+26200+1964162.52+51781+903354+761</f>
        <v>61007441.13</v>
      </c>
      <c r="G9" s="65">
        <f>SUM(F9+0.031*F9)</f>
        <v>62898671.80503</v>
      </c>
      <c r="H9" s="65">
        <f>SUM(G9+0.031*G9)</f>
        <v>64848530.63098593</v>
      </c>
      <c r="I9" s="65">
        <f>SUM(H9+0.031*H9)</f>
        <v>66858835.08054649</v>
      </c>
      <c r="J9" s="65">
        <f>SUM(I9+0.031*I9)</f>
        <v>68931458.96804343</v>
      </c>
      <c r="K9" s="65">
        <f>SUM(J9+0.031*J9)</f>
        <v>71068334.19605277</v>
      </c>
      <c r="L9" s="65">
        <f>SUM(K9+0.031*K9)</f>
        <v>73271452.55613041</v>
      </c>
      <c r="M9" s="65">
        <f>SUM(L9+0.031*L9)</f>
        <v>75542867.58537045</v>
      </c>
      <c r="N9" s="65">
        <f>SUM(M9+0.031*M9)</f>
        <v>77884696.48051694</v>
      </c>
      <c r="O9" s="65">
        <f>SUM(N9+0.031*N9)</f>
        <v>80299122.07141297</v>
      </c>
      <c r="P9" s="65">
        <f>SUM(O9+0.031*O9)</f>
        <v>82788394.85562676</v>
      </c>
      <c r="Q9" s="65">
        <f>SUM(P9+0.031*P9)</f>
        <v>85354835.09615119</v>
      </c>
      <c r="R9" s="65">
        <f>SUM(Q9+0.031*Q9)</f>
        <v>88000834.98413187</v>
      </c>
      <c r="S9" s="65">
        <f>SUM(R9+0.031*R9)</f>
        <v>90728860.86863996</v>
      </c>
      <c r="T9" s="65">
        <f>SUM(S9+0.031*S9)</f>
        <v>93541455.5555678</v>
      </c>
      <c r="U9" s="65">
        <f>SUM(T9+0.031*T9)</f>
        <v>96441240.6777904</v>
      </c>
      <c r="V9" s="65">
        <f>SUM(U9+0.031*U9)</f>
        <v>99430919.1388019</v>
      </c>
      <c r="W9" s="65">
        <f>SUM(V9+0.031*V9)</f>
        <v>102513277.63210475</v>
      </c>
      <c r="X9" s="65">
        <f>SUM(W9+0.031*W9)</f>
        <v>105691189.2387</v>
      </c>
      <c r="Y9" s="65">
        <f>SUM(X9+0.031*X9)</f>
        <v>108967616.10509971</v>
      </c>
      <c r="Z9" s="65">
        <f>SUM(Y9+0.031*Y9)</f>
        <v>112345612.2043578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22611884+20300+8063282-878155+54000+271750+100912</f>
        <v>30243973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93055179.13</v>
      </c>
      <c r="G12" s="60">
        <f>G13+G14</f>
        <v>56020472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58793501+18960+31000+3350-537098+138902+474879.61+308810+1109950+26200+51781+928354-25000-14550-17350+761</f>
        <v>61292450.61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24365571+34400+6898188-1958155+1964162.52+54000+246750+25000+115462+17350</f>
        <v>31762728.52</v>
      </c>
      <c r="G14" s="65">
        <f>zał3!I13+1000000</f>
        <v>4987172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15018883.805030003</v>
      </c>
      <c r="H15" s="60">
        <f>H8-H12</f>
        <v>13424915.63098593</v>
      </c>
      <c r="I15" s="60">
        <f>I8-I12</f>
        <v>13967511.630546495</v>
      </c>
      <c r="J15" s="60">
        <f>J8-J12</f>
        <v>14453395.814543426</v>
      </c>
      <c r="K15" s="60">
        <f>K8-K12</f>
        <v>14955929.147947766</v>
      </c>
      <c r="L15" s="60">
        <f>L8-L12</f>
        <v>15475675.356582247</v>
      </c>
      <c r="M15" s="60">
        <f>M8-M12</f>
        <v>16013217.06983585</v>
      </c>
      <c r="N15" s="60">
        <f>N8-N12</f>
        <v>16569156.449516296</v>
      </c>
      <c r="O15" s="60">
        <f>O8-O12</f>
        <v>17144115.839482307</v>
      </c>
      <c r="P15" s="60">
        <f>P8-P12</f>
        <v>17738738.436738178</v>
      </c>
      <c r="Q15" s="60">
        <f>Q8-Q12</f>
        <v>18353688.984695956</v>
      </c>
      <c r="R15" s="60">
        <f>R8-R12</f>
        <v>18989654.48933299</v>
      </c>
      <c r="S15" s="60">
        <f>S8-S12</f>
        <v>19647344.9589971</v>
      </c>
      <c r="T15" s="60">
        <f>T8-T12</f>
        <v>20327494.168635666</v>
      </c>
      <c r="U15" s="60">
        <f>U8-U12</f>
        <v>21030860.44925031</v>
      </c>
      <c r="V15" s="60">
        <f>V8-V12</f>
        <v>21758227.5034056</v>
      </c>
      <c r="W15" s="60">
        <f>W8-W12</f>
        <v>22510405.247646555</v>
      </c>
      <c r="X15" s="60">
        <f>X8-X12</f>
        <v>23288230.68270807</v>
      </c>
      <c r="Y15" s="60">
        <f>Y8-Y12</f>
        <v>24092568.792428</v>
      </c>
      <c r="Z15" s="60">
        <f>Z8-Z12</f>
        <v>24924313.472305954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12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0.09024719308204765</v>
      </c>
      <c r="G45" s="74">
        <f>G38/G8</f>
        <v>0.09552068967311118</v>
      </c>
      <c r="H45" s="74">
        <f>H38/H8</f>
        <v>0.09394821536541503</v>
      </c>
      <c r="I45" s="74">
        <f>I38/I8</f>
        <v>0.057345801315771695</v>
      </c>
      <c r="J45" s="74">
        <f>J38/J8</f>
        <v>0.052778311045810086</v>
      </c>
      <c r="K45" s="74">
        <f>K38/K8</f>
        <v>0.048433358759257535</v>
      </c>
      <c r="L45" s="74">
        <f>L38/L8</f>
        <v>0.044301700303986405</v>
      </c>
      <c r="M45" s="74">
        <f>M38/M8</f>
        <v>0.04037451441184194</v>
      </c>
      <c r="N45" s="74">
        <f>N38/N8</f>
        <v>0.03077387485369281</v>
      </c>
      <c r="O45" s="75">
        <f>O38/O8</f>
        <v>0.014663968090805344</v>
      </c>
      <c r="P45" s="75">
        <f>P38/P8</f>
        <v>0.01361242994586387</v>
      </c>
      <c r="Q45" s="75">
        <f>Q38/Q8</f>
        <v>0.012610808188849089</v>
      </c>
      <c r="R45" s="75">
        <f>R38/R8</f>
        <v>0.011657053651822112</v>
      </c>
      <c r="S45" s="75">
        <f>S38/S8</f>
        <v>0.010749195206710064</v>
      </c>
      <c r="T45" s="75">
        <f>T38/T8</f>
        <v>0.00988533692680802</v>
      </c>
      <c r="U45" s="75">
        <f>U38/U8</f>
        <v>0.009063655348363215</v>
      </c>
      <c r="V45" s="75">
        <f>V38/V8</f>
        <v>0.008282396828791054</v>
      </c>
      <c r="W45" s="75">
        <f>W38/W8</f>
        <v>0.00753987499818942</v>
      </c>
      <c r="X45" s="75">
        <f>X38/X8</f>
        <v>0.006834468300930824</v>
      </c>
      <c r="Y45" s="75">
        <f>Y38/Y8</f>
        <v>0.006164315672086837</v>
      </c>
      <c r="Z45" s="75">
        <f>Z38/Z8</f>
        <v>0.0024215306820585545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0.34312490166337334</v>
      </c>
      <c r="G53" s="74">
        <f>(G46-G48-G50)/G8</f>
        <v>0.37544318938786775</v>
      </c>
      <c r="H53" s="74">
        <f>(H46-H48-H50)/H8</f>
        <v>0.3216835154221836</v>
      </c>
      <c r="I53" s="74">
        <f>(I46-I48-I50)/I8</f>
        <v>0.27716975911503927</v>
      </c>
      <c r="J53" s="74">
        <f>(J46-J48-J50)/J8</f>
        <v>0.23503854879271083</v>
      </c>
      <c r="K53" s="74">
        <f>(K46-K48-K50)/K8</f>
        <v>0.19518696163803842</v>
      </c>
      <c r="L53" s="74">
        <f>(L46-L48-L50)/L8</f>
        <v>0.15751610674007496</v>
      </c>
      <c r="M53" s="74">
        <f>(M46-M48-M50)/M8</f>
        <v>0.12193090056744715</v>
      </c>
      <c r="N53" s="74">
        <f>(N46-N48-N50)/N8</f>
        <v>0.09494994026490146</v>
      </c>
      <c r="O53" s="75">
        <f>(O46-O48-O50)/O8</f>
        <v>0.08403480129128515</v>
      </c>
      <c r="P53" s="75">
        <f>(P46-P48-P50)/P8</f>
        <v>0.07368940517481361</v>
      </c>
      <c r="Q53" s="75">
        <f>(Q46-Q48-Q50)/Q8</f>
        <v>0.06388938335239953</v>
      </c>
      <c r="R53" s="75">
        <f>(R46-R48-R50)/R8</f>
        <v>0.054611316801372434</v>
      </c>
      <c r="S53" s="75">
        <f>(S46-S48-S50)/S8</f>
        <v>0.04583270099394266</v>
      </c>
      <c r="T53" s="75">
        <f>(T46-T48-T50)/T8</f>
        <v>0.0375319120999235</v>
      </c>
      <c r="U53" s="75">
        <f>(U46-U48-U50)/U8</f>
        <v>0.029688174394354304</v>
      </c>
      <c r="V53" s="75">
        <f>(V46-V48-V50)/V8</f>
        <v>0.022281528828145925</v>
      </c>
      <c r="W53" s="75">
        <f>(W46-W48-W50)/W8</f>
        <v>0.015292802721297889</v>
      </c>
      <c r="X53" s="75">
        <f>(X46-X48-X50)/X8</f>
        <v>0.008703580539617272</v>
      </c>
      <c r="Y53" s="75">
        <f>(Y46-Y48-Y50)/Y8</f>
        <v>0.0024964714076571525</v>
      </c>
      <c r="Z53" s="75">
        <f>(Z46-Z48-Z50)/Z8</f>
        <v>1.03114848780144E-17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0.09064736934388772</v>
      </c>
      <c r="H54" s="75">
        <f>((G9+G11-G13)/G8+(F9+F11-F13)/F8+(E9+E11-E13)/E8)/3</f>
        <v>0.14453164565348917</v>
      </c>
      <c r="I54" s="75">
        <f>((H9+H11-H13)/H8+(G9+G11-G13)/G8+(F9+F11-F13)/F8)/3</f>
        <v>0.17166048347437424</v>
      </c>
      <c r="J54" s="75">
        <f>((I9+I11-I13)/I8+(H9+H11-H13)/H8+(G9+G11-G13)/G8)/3</f>
        <v>0.21824727602001825</v>
      </c>
      <c r="K54" s="75">
        <f>((J9+J11-J13)/J8+(I9+I11-I13)/I8+(H9+H11-H13)/H8)/3</f>
        <v>0.20199471372363642</v>
      </c>
      <c r="L54" s="75">
        <f>((K9+K11-K13)/K8+(J9+J11-J13)/J8+(I9+I11-I13)/I8)/3</f>
        <v>0.2027276560472653</v>
      </c>
      <c r="M54" s="75">
        <f>((L9+L11-L13)/L8+(K9+K11-K13)/K8+(J9+J11-J13)/J8)/3</f>
        <v>0.203459962874329</v>
      </c>
      <c r="N54" s="75">
        <f>((M9+M11-M13)/M8+(L9+L11-L13)/L8+(K9+K11-K13)/K8)/3</f>
        <v>0.20419163468662724</v>
      </c>
      <c r="O54" s="75">
        <f>((N9+N11-N13)/N8+(M9+M11-M13)/M8+(L9+L11-L13)/L8)/3</f>
        <v>0.204922671965722</v>
      </c>
      <c r="P54" s="75">
        <f>((O9+O11-O13)/O8+(N9+N11-N13)/N8+(M9+M11-M13)/M8)/3</f>
        <v>0.2056530751929372</v>
      </c>
      <c r="Q54" s="75">
        <f>((P9+P11-P13)/P8+(O9+O11-O13)/O8+(N9+N11-N13)/N8)/3</f>
        <v>0.20638284484935912</v>
      </c>
      <c r="R54" s="75">
        <f>((Q9+Q11-Q13)/Q8+(P9+P11-P13)/P8+(O9+O11-O13)/O8)/3</f>
        <v>0.20711198141583556</v>
      </c>
      <c r="S54" s="75">
        <f>((R9+R11-R13)/R8+(Q9+Q11-Q13)/Q8+(P9+P11-P13)/P8)/3</f>
        <v>0.20784048537297617</v>
      </c>
      <c r="T54" s="75">
        <f>((S9+S11-S13)/S8+(R9+R11-R13)/R8+(Q9+Q11-Q13)/Q8)/3</f>
        <v>0.20856835720115222</v>
      </c>
      <c r="U54" s="75">
        <f>((T9+T11-T13)/T8+(S9+S11-S13)/S8+(R9+R11-R13)/R8)/3</f>
        <v>0.20929559738049633</v>
      </c>
      <c r="V54" s="75">
        <f>((U9+U11-U13)/U8+(T9+T11-T13)/T8+(S9+S11-S13)/S8)/3</f>
        <v>0.2100222063909026</v>
      </c>
      <c r="W54" s="75">
        <f>((V9+V11-V13)/V8+(U9+U11-U13)/U8+(T9+T11-T13)/T8)/3</f>
        <v>0.21074818471202628</v>
      </c>
      <c r="X54" s="75">
        <f>((W9+W11-W13)/W8+(V9+V11-V13)/V8+(U9+U11-U13)/U8)/3</f>
        <v>0.21147353282328366</v>
      </c>
      <c r="Y54" s="75">
        <f>((X9+X11-X13)/X8+(W9+W11-W13)/W8+(V9+V11-V13)/V8)/3</f>
        <v>0.21219825120385202</v>
      </c>
      <c r="Z54" s="75">
        <f>((Y9+Y11-Y13)/Y8+(X9+X11-X13)/X8+(W9+W11-W13)/W8)/3</f>
        <v>0.21292234033266952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426068.5200000033</v>
      </c>
      <c r="G65" s="87">
        <f>SUM(G9-G13+G25)</f>
        <v>12615371.805030003</v>
      </c>
      <c r="H65" s="87">
        <f>SUM(H9-H13+H25)</f>
        <v>13034231.63098593</v>
      </c>
      <c r="I65" s="87">
        <f>SUM(I9-I13+I25)</f>
        <v>13467607.110546492</v>
      </c>
      <c r="J65" s="87">
        <f>SUM(J9-J13+J25)</f>
        <v>13915994.15894343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2.7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2.7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2.7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2.75">
      <c r="E85" s="100"/>
      <c r="F85" s="100"/>
      <c r="G85" s="100"/>
      <c r="H85" s="100"/>
      <c r="I85" s="100"/>
      <c r="J85" s="100"/>
      <c r="K85" s="100"/>
    </row>
    <row r="86" spans="5:10" ht="12.7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1"/>
  <sheetViews>
    <sheetView workbookViewId="0" topLeftCell="A1">
      <pane ySplit="6" topLeftCell="A7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2.7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2.7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63444635.75</v>
      </c>
      <c r="H11" s="112">
        <f>SUM(H12,H13)</f>
        <v>28781614</v>
      </c>
      <c r="I11" s="112">
        <f>SUM(I12,I13)</f>
        <v>5042792</v>
      </c>
      <c r="J11" s="112">
        <f>SUM(J12,J13)</f>
        <v>1530000</v>
      </c>
      <c r="K11" s="112">
        <f>SUM(K12,K13)</f>
        <v>1500000</v>
      </c>
      <c r="L11" s="112">
        <f>SUM(L12,L13)</f>
        <v>0</v>
      </c>
    </row>
    <row r="12" spans="2:12" s="113" customFormat="1" ht="12.75">
      <c r="B12" s="114"/>
      <c r="C12" s="115" t="s">
        <v>164</v>
      </c>
      <c r="D12" s="115"/>
      <c r="E12" s="115"/>
      <c r="F12" s="115"/>
      <c r="G12" s="116">
        <f>SUM(G15,G81,G86)</f>
        <v>1851833.32</v>
      </c>
      <c r="H12" s="116">
        <f>SUM(H15,H81,H84)</f>
        <v>1490035</v>
      </c>
      <c r="I12" s="116">
        <f>SUM(I15,I81,I84)</f>
        <v>1055620</v>
      </c>
      <c r="J12" s="116">
        <f>SUM(J15,J81,J84)</f>
        <v>30000</v>
      </c>
      <c r="K12" s="116">
        <f>SUM(K15,K81,K84)</f>
        <v>0</v>
      </c>
      <c r="L12" s="116">
        <f>SUM(L15,L81,L86)</f>
        <v>0</v>
      </c>
    </row>
    <row r="13" spans="2:16" s="113" customFormat="1" ht="12.75">
      <c r="B13" s="114"/>
      <c r="C13" s="115" t="s">
        <v>165</v>
      </c>
      <c r="D13" s="115"/>
      <c r="E13" s="115"/>
      <c r="F13" s="115"/>
      <c r="G13" s="116">
        <f>SUM(G16,G82)</f>
        <v>61592802.43</v>
      </c>
      <c r="H13" s="116">
        <f>SUM(H16,H82)</f>
        <v>27291579</v>
      </c>
      <c r="I13" s="116">
        <f>SUM(I16,I82)</f>
        <v>3987172</v>
      </c>
      <c r="J13" s="116">
        <f>SUM(J16,J82)</f>
        <v>1500000</v>
      </c>
      <c r="K13" s="116">
        <f>SUM(K16,K82)</f>
        <v>1500000</v>
      </c>
      <c r="L13" s="116">
        <f>SUM(L16,L82)</f>
        <v>0</v>
      </c>
      <c r="M13" s="117"/>
      <c r="N13" s="117"/>
      <c r="O13" s="117"/>
      <c r="P13" s="117"/>
    </row>
    <row r="14" spans="2:12" s="113" customFormat="1" ht="12.75">
      <c r="B14" s="114"/>
      <c r="C14" s="118" t="s">
        <v>166</v>
      </c>
      <c r="D14" s="118"/>
      <c r="E14" s="118"/>
      <c r="F14" s="118"/>
      <c r="G14" s="119">
        <f>SUM(G15,G16)</f>
        <v>62744635.75</v>
      </c>
      <c r="H14" s="119">
        <f>SUM(H15,H16)</f>
        <v>27589614</v>
      </c>
      <c r="I14" s="119">
        <f>SUM(I15,I16)</f>
        <v>4042792</v>
      </c>
      <c r="J14" s="119">
        <f>SUM(J15,J16)</f>
        <v>1530000</v>
      </c>
      <c r="K14" s="119">
        <f>SUM(K15,K16)</f>
        <v>1500000</v>
      </c>
      <c r="L14" s="119">
        <f>SUM(L15,L16)</f>
        <v>0</v>
      </c>
    </row>
    <row r="15" spans="2:12" s="113" customFormat="1" ht="12.75">
      <c r="B15" s="114"/>
      <c r="C15" s="120" t="s">
        <v>164</v>
      </c>
      <c r="D15" s="120"/>
      <c r="E15" s="120"/>
      <c r="F15" s="120"/>
      <c r="G15" s="116">
        <f>SUM(G18,G63,G66)</f>
        <v>1151833.32</v>
      </c>
      <c r="H15" s="116">
        <f>SUM(H18,H63,H66)</f>
        <v>298035</v>
      </c>
      <c r="I15" s="116">
        <f>SUM(I18,I63,I66)</f>
        <v>55620</v>
      </c>
      <c r="J15" s="116">
        <f>SUM(J18,J63,J66)</f>
        <v>30000</v>
      </c>
      <c r="K15" s="116">
        <f>SUM(K18,K63,K66)</f>
        <v>0</v>
      </c>
      <c r="L15" s="116">
        <f>SUM(L18,L63,L66)</f>
        <v>0</v>
      </c>
    </row>
    <row r="16" spans="2:12" s="113" customFormat="1" ht="12.75">
      <c r="B16" s="114"/>
      <c r="C16" s="120" t="s">
        <v>165</v>
      </c>
      <c r="D16" s="120"/>
      <c r="E16" s="120"/>
      <c r="F16" s="120"/>
      <c r="G16" s="116">
        <f>SUM(G19,G64,G67)</f>
        <v>61592802.43</v>
      </c>
      <c r="H16" s="116">
        <f>SUM(H19,H64,H67)</f>
        <v>27291579</v>
      </c>
      <c r="I16" s="116">
        <f>SUM(I19,I64,I67)</f>
        <v>3987172</v>
      </c>
      <c r="J16" s="116">
        <f>SUM(J19,J64,J67)</f>
        <v>1500000</v>
      </c>
      <c r="K16" s="116">
        <f>SUM(K19,K64,K67)</f>
        <v>1500000</v>
      </c>
      <c r="L16" s="116">
        <f>SUM(L19,L64,L67)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54494635.75</v>
      </c>
      <c r="H17" s="119">
        <f>SUM(H18,H19)</f>
        <v>26128198</v>
      </c>
      <c r="I17" s="119">
        <f>SUM(I18,I19)</f>
        <v>381365</v>
      </c>
      <c r="J17" s="119">
        <f>SUM(J18,J19)</f>
        <v>30000</v>
      </c>
      <c r="K17" s="119">
        <f>SUM(K18,K19)</f>
        <v>0</v>
      </c>
      <c r="L17" s="119">
        <f>SUM(L18,L19)</f>
        <v>0</v>
      </c>
    </row>
    <row r="18" spans="2:12" s="121" customFormat="1" ht="12.75">
      <c r="B18" s="122"/>
      <c r="C18" s="124" t="s">
        <v>168</v>
      </c>
      <c r="D18" s="124"/>
      <c r="E18" s="124"/>
      <c r="F18" s="124"/>
      <c r="G18" s="116">
        <f>SUM(G21,G24,G27,G30,G33,G36,G42,G45,G48,G51,G54,G57,G60)</f>
        <v>1151833.32</v>
      </c>
      <c r="H18" s="116">
        <f>SUM(H21,H24,H27,H30,H33,H36,H42,H45,H48,H51,H54,H57,H60)</f>
        <v>298035</v>
      </c>
      <c r="I18" s="116">
        <f>SUM(I21,I24,I27,I30,I33,I36,I42,I45,I48,I51,I54,I57,I60)</f>
        <v>55620</v>
      </c>
      <c r="J18" s="116">
        <f>SUM(J21,J24,J27,J30,J33,J36,J42,J45,J48,J51,J54,J57,J60)</f>
        <v>30000</v>
      </c>
      <c r="K18" s="116">
        <f>SUM(K21,K24,K27,K30,K33,K36,K42,K45,K48,K51,K54,K57,K60)</f>
        <v>0</v>
      </c>
      <c r="L18" s="116">
        <f>SUM(L21,L24,L27,L30,L33,L36,L42,L45,L48,L51,L54,L57,L60)</f>
        <v>0</v>
      </c>
    </row>
    <row r="19" spans="2:12" s="121" customFormat="1" ht="12.75">
      <c r="B19" s="122"/>
      <c r="C19" s="124" t="s">
        <v>169</v>
      </c>
      <c r="D19" s="124"/>
      <c r="E19" s="124"/>
      <c r="F19" s="124"/>
      <c r="G19" s="116">
        <f>SUM(G22,G25,G28,G31,G34,G37,G43,G46,G49,G52,G55,G58,G61)</f>
        <v>53342802.43</v>
      </c>
      <c r="H19" s="116">
        <f>SUM(H22,H25,H28,H31,H34,H37,H40,H43,H46,H49,H52,H55,H58,H61)</f>
        <v>25830163</v>
      </c>
      <c r="I19" s="116">
        <f>SUM(I22,I25,I28,I31,I34,I37,I43,I46,I49,I52,I55,I58,I61)</f>
        <v>325745</v>
      </c>
      <c r="J19" s="116">
        <f>SUM(J22,J25,J28,J31,J34,J37,J43,J46,J49,J52,J55,J58,J61)</f>
        <v>0</v>
      </c>
      <c r="K19" s="116">
        <f>SUM(K22,K25,K28,K31,K34,K37,K43,K46,K49,K52,K55,K58,K61)</f>
        <v>0</v>
      </c>
      <c r="L19" s="116">
        <f>SUM(L22,L25,L28,L31,L34,L37,L43,L46,L49,L52,L55,L58,L61)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2.7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2.7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2.7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2.7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>
        <v>0</v>
      </c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 customHeight="1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12.75">
      <c r="B35" s="122"/>
      <c r="C35" s="125" t="s">
        <v>176</v>
      </c>
      <c r="D35" s="126" t="s">
        <v>171</v>
      </c>
      <c r="E35" s="127">
        <v>2012</v>
      </c>
      <c r="F35" s="127">
        <v>2013</v>
      </c>
      <c r="G35" s="129">
        <f>SUM(G36:G37)</f>
        <v>42020</v>
      </c>
      <c r="H35" s="129">
        <f>SUM(H36:H37)</f>
        <v>3075</v>
      </c>
      <c r="I35" s="129">
        <f>SUM(I36:I37)</f>
        <v>38945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2.75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2.75">
      <c r="B37" s="122"/>
      <c r="C37" s="124" t="s">
        <v>165</v>
      </c>
      <c r="D37" s="130"/>
      <c r="E37" s="131"/>
      <c r="F37" s="132"/>
      <c r="G37" s="133">
        <v>42020</v>
      </c>
      <c r="H37" s="133">
        <v>3075</v>
      </c>
      <c r="I37" s="133">
        <v>38945</v>
      </c>
      <c r="J37" s="133">
        <v>0</v>
      </c>
      <c r="K37" s="133">
        <v>0</v>
      </c>
      <c r="L37" s="133">
        <v>0</v>
      </c>
    </row>
    <row r="38" spans="2:12" ht="12.75">
      <c r="B38" s="122"/>
      <c r="C38" s="125" t="s">
        <v>177</v>
      </c>
      <c r="D38" s="126" t="s">
        <v>171</v>
      </c>
      <c r="E38" s="127">
        <v>2012</v>
      </c>
      <c r="F38" s="127">
        <v>2013</v>
      </c>
      <c r="G38" s="129">
        <f>SUM(G39:G40)</f>
        <v>42020</v>
      </c>
      <c r="H38" s="129">
        <f>SUM(H39:H40)</f>
        <v>3075</v>
      </c>
      <c r="I38" s="129">
        <f>SUM(I39:I40)</f>
        <v>38945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165</v>
      </c>
      <c r="D40" s="130"/>
      <c r="E40" s="131"/>
      <c r="F40" s="132"/>
      <c r="G40" s="133">
        <v>42020</v>
      </c>
      <c r="H40" s="133">
        <v>3075</v>
      </c>
      <c r="I40" s="133">
        <v>38945</v>
      </c>
      <c r="J40" s="133">
        <v>0</v>
      </c>
      <c r="K40" s="133">
        <v>0</v>
      </c>
      <c r="L40" s="133">
        <v>0</v>
      </c>
    </row>
    <row r="41" spans="2:12" ht="82.5" customHeight="1">
      <c r="B41" s="122"/>
      <c r="C41" s="135" t="s">
        <v>178</v>
      </c>
      <c r="D41" s="126" t="s">
        <v>171</v>
      </c>
      <c r="E41" s="127">
        <v>2011</v>
      </c>
      <c r="F41" s="128">
        <v>2012</v>
      </c>
      <c r="G41" s="129">
        <f>SUM(G42:G43)</f>
        <v>844630</v>
      </c>
      <c r="H41" s="129">
        <f>SUM(H42:H43)</f>
        <v>815480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165</v>
      </c>
      <c r="D43" s="130"/>
      <c r="E43" s="131"/>
      <c r="F43" s="132"/>
      <c r="G43" s="133">
        <f>860000-15370</f>
        <v>844630</v>
      </c>
      <c r="H43" s="133">
        <v>815480</v>
      </c>
      <c r="I43" s="133">
        <v>0</v>
      </c>
      <c r="J43" s="133">
        <v>0</v>
      </c>
      <c r="K43" s="133">
        <v>0</v>
      </c>
      <c r="L43" s="133">
        <v>0</v>
      </c>
    </row>
    <row r="44" spans="2:12" ht="103.5" customHeight="1">
      <c r="B44" s="122"/>
      <c r="C44" s="135" t="s">
        <v>179</v>
      </c>
      <c r="D44" s="126" t="s">
        <v>171</v>
      </c>
      <c r="E44" s="127">
        <v>2012</v>
      </c>
      <c r="F44" s="128">
        <v>2013</v>
      </c>
      <c r="G44" s="129">
        <f>SUM(G45:G46)</f>
        <v>606800</v>
      </c>
      <c r="H44" s="129">
        <f>SUM(H45:H46)</f>
        <v>320000</v>
      </c>
      <c r="I44" s="129">
        <f>SUM(I45:I46)</f>
        <v>286800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164</v>
      </c>
      <c r="D45" s="130"/>
      <c r="E45" s="131"/>
      <c r="F45" s="132"/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</row>
    <row r="46" spans="2:12" ht="12.75">
      <c r="B46" s="122"/>
      <c r="C46" s="124" t="s">
        <v>165</v>
      </c>
      <c r="D46" s="130"/>
      <c r="E46" s="131"/>
      <c r="F46" s="132"/>
      <c r="G46" s="133">
        <v>606800</v>
      </c>
      <c r="H46" s="133">
        <v>320000</v>
      </c>
      <c r="I46" s="133">
        <v>286800</v>
      </c>
      <c r="J46" s="133">
        <v>0</v>
      </c>
      <c r="K46" s="133">
        <v>0</v>
      </c>
      <c r="L46" s="133">
        <v>0</v>
      </c>
    </row>
    <row r="47" spans="2:12" ht="111.75" customHeight="1">
      <c r="B47" s="122"/>
      <c r="C47" s="125" t="s">
        <v>180</v>
      </c>
      <c r="D47" s="126" t="s">
        <v>181</v>
      </c>
      <c r="E47" s="127">
        <v>2009</v>
      </c>
      <c r="F47" s="128">
        <v>2012</v>
      </c>
      <c r="G47" s="136">
        <f>SUM(G48:G49)</f>
        <v>125325.43</v>
      </c>
      <c r="H47" s="129">
        <f>SUM(H48:H49)</f>
        <v>33375</v>
      </c>
      <c r="I47" s="129">
        <f>SUM(I48:I49)</f>
        <v>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2.75">
      <c r="B48" s="122"/>
      <c r="C48" s="124" t="s">
        <v>164</v>
      </c>
      <c r="D48" s="131"/>
      <c r="E48" s="131"/>
      <c r="F48" s="132"/>
      <c r="G48" s="133">
        <v>112600</v>
      </c>
      <c r="H48" s="133">
        <v>33375</v>
      </c>
      <c r="I48" s="133">
        <v>0</v>
      </c>
      <c r="J48" s="133">
        <v>0</v>
      </c>
      <c r="K48" s="133">
        <v>0</v>
      </c>
      <c r="L48" s="133">
        <v>0</v>
      </c>
    </row>
    <row r="49" spans="2:12" ht="12.75">
      <c r="B49" s="122"/>
      <c r="C49" s="124" t="s">
        <v>165</v>
      </c>
      <c r="D49" s="131"/>
      <c r="E49" s="131"/>
      <c r="F49" s="132"/>
      <c r="G49" s="137">
        <v>12725.43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93.75" customHeight="1">
      <c r="B50" s="122"/>
      <c r="C50" s="125" t="s">
        <v>182</v>
      </c>
      <c r="D50" s="126" t="s">
        <v>183</v>
      </c>
      <c r="E50" s="127">
        <v>2010</v>
      </c>
      <c r="F50" s="128">
        <v>2012</v>
      </c>
      <c r="G50" s="129">
        <f>SUM(G51:G52)</f>
        <v>718720</v>
      </c>
      <c r="H50" s="129">
        <f>SUM(H51:H52)</f>
        <v>221440</v>
      </c>
      <c r="I50" s="129">
        <f>SUM(I51:I52)</f>
        <v>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2.75">
      <c r="B51" s="122"/>
      <c r="C51" s="124" t="s">
        <v>164</v>
      </c>
      <c r="D51" s="138"/>
      <c r="E51" s="131"/>
      <c r="F51" s="132"/>
      <c r="G51" s="133">
        <v>718720</v>
      </c>
      <c r="H51" s="133">
        <v>221440</v>
      </c>
      <c r="I51" s="133">
        <v>0</v>
      </c>
      <c r="J51" s="133">
        <v>0</v>
      </c>
      <c r="K51" s="133">
        <v>0</v>
      </c>
      <c r="L51" s="133">
        <v>0</v>
      </c>
    </row>
    <row r="52" spans="2:12" ht="13.5" customHeight="1">
      <c r="B52" s="122"/>
      <c r="C52" s="124" t="s">
        <v>165</v>
      </c>
      <c r="D52" s="138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185</v>
      </c>
      <c r="E53" s="127">
        <v>2010</v>
      </c>
      <c r="F53" s="128">
        <v>2013</v>
      </c>
      <c r="G53" s="129">
        <f>SUM(G54:G55)</f>
        <v>164260</v>
      </c>
      <c r="H53" s="129">
        <f>SUM(H54:H55)</f>
        <v>26020</v>
      </c>
      <c r="I53" s="129">
        <f>SUM(I54:I55)</f>
        <v>15620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164260</v>
      </c>
      <c r="H54" s="133">
        <v>26020</v>
      </c>
      <c r="I54" s="133">
        <v>15620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186</v>
      </c>
      <c r="D56" s="126" t="s">
        <v>181</v>
      </c>
      <c r="E56" s="127">
        <v>2010</v>
      </c>
      <c r="F56" s="128">
        <v>2013</v>
      </c>
      <c r="G56" s="129">
        <f>SUM(G57:G58)</f>
        <v>110000</v>
      </c>
      <c r="H56" s="129">
        <f>SUM(H57:H58)</f>
        <v>10000</v>
      </c>
      <c r="I56" s="129">
        <f>SUM(I57:I58)</f>
        <v>40000</v>
      </c>
      <c r="J56" s="129">
        <f>SUM(J57:J58)</f>
        <v>30000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v>110000</v>
      </c>
      <c r="H57" s="133">
        <v>10000</v>
      </c>
      <c r="I57" s="133">
        <v>40000</v>
      </c>
      <c r="J57" s="133">
        <v>30000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78.75" customHeight="1">
      <c r="B59" s="122"/>
      <c r="C59" s="125" t="s">
        <v>187</v>
      </c>
      <c r="D59" s="126" t="s">
        <v>181</v>
      </c>
      <c r="E59" s="127">
        <v>2010</v>
      </c>
      <c r="F59" s="128">
        <v>2012</v>
      </c>
      <c r="G59" s="129">
        <f>SUM(G60:G61)</f>
        <v>46253.32</v>
      </c>
      <c r="H59" s="129">
        <f>SUM(H60:H61)</f>
        <v>7200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4.25" customHeight="1">
      <c r="B60" s="122"/>
      <c r="C60" s="124" t="s">
        <v>164</v>
      </c>
      <c r="D60" s="131"/>
      <c r="E60" s="131"/>
      <c r="F60" s="132"/>
      <c r="G60" s="133">
        <f>44353.32+1900</f>
        <v>46253.32</v>
      </c>
      <c r="H60" s="133">
        <f>5300+1900</f>
        <v>7200</v>
      </c>
      <c r="I60" s="133">
        <v>0</v>
      </c>
      <c r="J60" s="133">
        <v>0</v>
      </c>
      <c r="K60" s="133">
        <v>0</v>
      </c>
      <c r="L60" s="133">
        <v>0</v>
      </c>
    </row>
    <row r="61" spans="2:12" ht="12" customHeight="1">
      <c r="B61" s="122"/>
      <c r="C61" s="124" t="s">
        <v>165</v>
      </c>
      <c r="D61" s="131"/>
      <c r="E61" s="131"/>
      <c r="F61" s="132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32.25" customHeight="1">
      <c r="B62" s="139"/>
      <c r="C62" s="123" t="s">
        <v>188</v>
      </c>
      <c r="D62" s="123"/>
      <c r="E62" s="123"/>
      <c r="F62" s="123"/>
      <c r="G62" s="129">
        <f>SUM(G63:G64)</f>
        <v>0</v>
      </c>
      <c r="H62" s="129">
        <f>SUM(H63:H64)</f>
        <v>0</v>
      </c>
      <c r="I62" s="129">
        <f>SUM(I63:I64)</f>
        <v>0</v>
      </c>
      <c r="J62" s="129">
        <f>SUM(J63:J64)</f>
        <v>0</v>
      </c>
      <c r="K62" s="129">
        <f>SUM(K63:K64)</f>
        <v>0</v>
      </c>
      <c r="L62" s="129">
        <f>SUM(L63:L64)</f>
        <v>0</v>
      </c>
    </row>
    <row r="63" spans="2:12" ht="13.5" customHeight="1">
      <c r="B63" s="139"/>
      <c r="C63" s="124" t="s">
        <v>164</v>
      </c>
      <c r="D63" s="124"/>
      <c r="E63" s="124"/>
      <c r="F63" s="124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3.5" customHeight="1">
      <c r="B64" s="139"/>
      <c r="C64" s="124" t="s">
        <v>165</v>
      </c>
      <c r="D64" s="124"/>
      <c r="E64" s="124"/>
      <c r="F64" s="124"/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</row>
    <row r="65" spans="2:12" ht="29.25" customHeight="1">
      <c r="B65" s="139"/>
      <c r="C65" s="140" t="s">
        <v>189</v>
      </c>
      <c r="D65" s="140"/>
      <c r="E65" s="140"/>
      <c r="F65" s="140"/>
      <c r="G65" s="129">
        <f>SUM(G66:G67)</f>
        <v>8250000</v>
      </c>
      <c r="H65" s="129">
        <f>SUM(H66:H67)</f>
        <v>1461416</v>
      </c>
      <c r="I65" s="129">
        <f>SUM(I66:I67)</f>
        <v>3661427</v>
      </c>
      <c r="J65" s="129">
        <f>SUM(J66:J67)</f>
        <v>1500000</v>
      </c>
      <c r="K65" s="129">
        <f>SUM(K66:K67)</f>
        <v>1500000</v>
      </c>
      <c r="L65" s="129">
        <f>SUM(L66:L67)</f>
        <v>0</v>
      </c>
    </row>
    <row r="66" spans="2:12" ht="12.75">
      <c r="B66" s="139"/>
      <c r="C66" s="124" t="s">
        <v>164</v>
      </c>
      <c r="D66" s="124"/>
      <c r="E66" s="124"/>
      <c r="F66" s="124"/>
      <c r="G66" s="129">
        <f>SUM(G69,G72,G75,G78)</f>
        <v>0</v>
      </c>
      <c r="H66" s="129">
        <f>SUM(H69,H72,H75,H78)</f>
        <v>0</v>
      </c>
      <c r="I66" s="129">
        <f>SUM(I69,I72,I75,I78)</f>
        <v>0</v>
      </c>
      <c r="J66" s="129">
        <f>SUM(J69,J72,J75,J78)</f>
        <v>0</v>
      </c>
      <c r="K66" s="129">
        <f>SUM(K69,K72,K75,K78)</f>
        <v>0</v>
      </c>
      <c r="L66" s="129">
        <f>SUM(L69,L72,L75,L78)</f>
        <v>0</v>
      </c>
    </row>
    <row r="67" spans="2:12" ht="12.75">
      <c r="B67" s="139"/>
      <c r="C67" s="124" t="s">
        <v>165</v>
      </c>
      <c r="D67" s="124"/>
      <c r="E67" s="124"/>
      <c r="F67" s="124"/>
      <c r="G67" s="129">
        <f>SUM(G70,G73,G76,G79)</f>
        <v>8250000</v>
      </c>
      <c r="H67" s="129">
        <f>SUM(H70,H73,H76,H79)</f>
        <v>1461416</v>
      </c>
      <c r="I67" s="129">
        <f>SUM(I70,I73,I76,I79)</f>
        <v>3661427</v>
      </c>
      <c r="J67" s="129">
        <f>SUM(J70,J73,J76,J79)</f>
        <v>1500000</v>
      </c>
      <c r="K67" s="129">
        <f>SUM(K70,K73,K76,K79)</f>
        <v>1500000</v>
      </c>
      <c r="L67" s="129">
        <f>SUM(L70,L73,L76,L79)</f>
        <v>0</v>
      </c>
    </row>
    <row r="68" spans="2:12" s="121" customFormat="1" ht="12.75">
      <c r="B68" s="141"/>
      <c r="C68" s="125" t="s">
        <v>190</v>
      </c>
      <c r="D68" s="126" t="s">
        <v>171</v>
      </c>
      <c r="E68" s="127">
        <v>2011</v>
      </c>
      <c r="F68" s="128">
        <v>2015</v>
      </c>
      <c r="G68" s="129">
        <f>SUM(G69:G70)</f>
        <v>6800000</v>
      </c>
      <c r="H68" s="129">
        <f>SUM(H69:H70)</f>
        <v>1372443</v>
      </c>
      <c r="I68" s="129">
        <f>SUM(I69:I70)</f>
        <v>2325000</v>
      </c>
      <c r="J68" s="129">
        <f>SUM(J69:J70)</f>
        <v>1500000</v>
      </c>
      <c r="K68" s="129">
        <f>SUM(K69:K70)</f>
        <v>1500000</v>
      </c>
      <c r="L68" s="129">
        <f>SUM(L69:L70)</f>
        <v>0</v>
      </c>
    </row>
    <row r="69" spans="2:12" s="121" customFormat="1" ht="12.75">
      <c r="B69" s="141"/>
      <c r="C69" s="124" t="s">
        <v>164</v>
      </c>
      <c r="D69" s="142"/>
      <c r="E69" s="143"/>
      <c r="F69" s="132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2.75">
      <c r="B70" s="139"/>
      <c r="C70" s="124" t="s">
        <v>165</v>
      </c>
      <c r="D70" s="142"/>
      <c r="E70" s="143"/>
      <c r="F70" s="132"/>
      <c r="G70" s="133">
        <f>7000000-1100000+900000</f>
        <v>6800000</v>
      </c>
      <c r="H70" s="133">
        <f>1000000-900000+1267443-35000+40000</f>
        <v>1372443</v>
      </c>
      <c r="I70" s="133">
        <f>1440000-200000+150000+900000+35000</f>
        <v>2325000</v>
      </c>
      <c r="J70" s="133">
        <v>1500000</v>
      </c>
      <c r="K70" s="133">
        <v>1500000</v>
      </c>
      <c r="L70" s="133">
        <v>0</v>
      </c>
    </row>
    <row r="71" spans="2:12" ht="74.25" customHeight="1">
      <c r="B71" s="122"/>
      <c r="C71" s="135" t="s">
        <v>191</v>
      </c>
      <c r="D71" s="126" t="s">
        <v>171</v>
      </c>
      <c r="E71" s="127">
        <v>2011</v>
      </c>
      <c r="F71" s="128">
        <v>2013</v>
      </c>
      <c r="G71" s="129">
        <f>SUM(G72:G73)</f>
        <v>1450000</v>
      </c>
      <c r="H71" s="129">
        <f>SUM(H72:H73)</f>
        <v>88973</v>
      </c>
      <c r="I71" s="129">
        <f>SUM(I72:I73)</f>
        <v>1336427</v>
      </c>
      <c r="J71" s="129">
        <f>SUM(J72:J73)</f>
        <v>0</v>
      </c>
      <c r="K71" s="129">
        <f>SUM(K72:K73)</f>
        <v>0</v>
      </c>
      <c r="L71" s="129">
        <f>SUM(L72:L73)</f>
        <v>0</v>
      </c>
    </row>
    <row r="72" spans="2:12" ht="12.75">
      <c r="B72" s="122"/>
      <c r="C72" s="124" t="s">
        <v>164</v>
      </c>
      <c r="D72" s="130"/>
      <c r="E72" s="131"/>
      <c r="F72" s="132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2.75">
      <c r="B73" s="122"/>
      <c r="C73" s="124" t="s">
        <v>165</v>
      </c>
      <c r="D73" s="130"/>
      <c r="E73" s="131"/>
      <c r="F73" s="132"/>
      <c r="G73" s="133">
        <v>1450000</v>
      </c>
      <c r="H73" s="133">
        <f>670000-586427+5400</f>
        <v>88973</v>
      </c>
      <c r="I73" s="133">
        <f>750000+586427</f>
        <v>1336427</v>
      </c>
      <c r="J73" s="133">
        <v>0</v>
      </c>
      <c r="K73" s="133">
        <v>0</v>
      </c>
      <c r="L73" s="133">
        <v>0</v>
      </c>
    </row>
    <row r="74" spans="2:12" ht="12.75">
      <c r="B74" s="139"/>
      <c r="C74" s="135"/>
      <c r="D74" s="126"/>
      <c r="E74" s="127"/>
      <c r="F74" s="128"/>
      <c r="G74" s="144">
        <f>SUM(G75:G76)</f>
        <v>0</v>
      </c>
      <c r="H74" s="144">
        <f>SUM(H75:H76)</f>
        <v>0</v>
      </c>
      <c r="I74" s="144">
        <f>SUM(I75:I76)</f>
        <v>0</v>
      </c>
      <c r="J74" s="144">
        <f>SUM(J75:J76)</f>
        <v>0</v>
      </c>
      <c r="K74" s="144">
        <f>SUM(K75:K76)</f>
        <v>0</v>
      </c>
      <c r="L74" s="144">
        <f>SUM(L75:L76)</f>
        <v>0</v>
      </c>
    </row>
    <row r="75" spans="2:12" ht="12.75">
      <c r="B75" s="139"/>
      <c r="C75" s="124" t="s">
        <v>164</v>
      </c>
      <c r="D75" s="124"/>
      <c r="E75" s="124"/>
      <c r="F75" s="124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12.75">
      <c r="B76" s="139"/>
      <c r="C76" s="124" t="s">
        <v>165</v>
      </c>
      <c r="D76" s="124"/>
      <c r="E76" s="124"/>
      <c r="F76" s="124"/>
      <c r="G76" s="133"/>
      <c r="H76" s="133"/>
      <c r="I76" s="133"/>
      <c r="J76" s="133">
        <v>0</v>
      </c>
      <c r="K76" s="133">
        <v>0</v>
      </c>
      <c r="L76" s="133">
        <v>0</v>
      </c>
    </row>
    <row r="77" spans="2:12" ht="2.25" customHeight="1">
      <c r="B77" s="139"/>
      <c r="C77" s="135"/>
      <c r="D77" s="126"/>
      <c r="E77" s="127">
        <v>0</v>
      </c>
      <c r="F77" s="128">
        <v>0</v>
      </c>
      <c r="G77" s="144">
        <f>SUM(G78:G79)</f>
        <v>0</v>
      </c>
      <c r="H77" s="144">
        <f>SUM(H78:H79)</f>
        <v>0</v>
      </c>
      <c r="I77" s="144">
        <f>SUM(I78:I79)</f>
        <v>0</v>
      </c>
      <c r="J77" s="144">
        <f>SUM(J78:J79)</f>
        <v>0</v>
      </c>
      <c r="K77" s="144">
        <f>SUM(K78:K79)</f>
        <v>0</v>
      </c>
      <c r="L77" s="144">
        <f>SUM(L78:L79)</f>
        <v>0</v>
      </c>
    </row>
    <row r="78" spans="2:12" ht="2.25" customHeight="1">
      <c r="B78" s="139"/>
      <c r="C78" s="124" t="s">
        <v>164</v>
      </c>
      <c r="D78" s="124"/>
      <c r="E78" s="124"/>
      <c r="F78" s="124"/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</row>
    <row r="79" spans="2:12" ht="2.25" customHeight="1">
      <c r="B79" s="139"/>
      <c r="C79" s="124" t="s">
        <v>165</v>
      </c>
      <c r="D79" s="124"/>
      <c r="E79" s="124"/>
      <c r="F79" s="124"/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</row>
    <row r="80" spans="2:12" ht="43.5" customHeight="1">
      <c r="B80" s="139"/>
      <c r="C80" s="140" t="s">
        <v>192</v>
      </c>
      <c r="D80" s="140"/>
      <c r="E80" s="140"/>
      <c r="F80" s="140"/>
      <c r="G80" s="129">
        <f>SUM(G81:G82)</f>
        <v>0</v>
      </c>
      <c r="H80" s="129">
        <f>SUM(H81:H82)</f>
        <v>0</v>
      </c>
      <c r="I80" s="129">
        <f>SUM(I81:I82)</f>
        <v>0</v>
      </c>
      <c r="J80" s="129">
        <f>SUM(J81:J82)</f>
        <v>0</v>
      </c>
      <c r="K80" s="129">
        <f>SUM(K81:K82)</f>
        <v>0</v>
      </c>
      <c r="L80" s="129">
        <f>SUM(L81:L82)</f>
        <v>0</v>
      </c>
    </row>
    <row r="81" spans="2:12" ht="12.75">
      <c r="B81" s="139"/>
      <c r="C81" s="124" t="s">
        <v>164</v>
      </c>
      <c r="D81" s="124"/>
      <c r="E81" s="124"/>
      <c r="F81" s="124"/>
      <c r="G81" s="134">
        <v>0</v>
      </c>
      <c r="H81" s="134">
        <v>0</v>
      </c>
      <c r="I81" s="134">
        <v>0</v>
      </c>
      <c r="J81" s="134">
        <f>SUM(J86)</f>
        <v>0</v>
      </c>
      <c r="K81" s="134">
        <f>SUM(K86)</f>
        <v>0</v>
      </c>
      <c r="L81" s="134">
        <f>SUM(L86)</f>
        <v>0</v>
      </c>
    </row>
    <row r="82" spans="2:12" ht="12.75">
      <c r="B82" s="139"/>
      <c r="C82" s="124" t="s">
        <v>165</v>
      </c>
      <c r="D82" s="124"/>
      <c r="E82" s="124"/>
      <c r="F82" s="124"/>
      <c r="G82" s="134">
        <f>SUM(G89)</f>
        <v>0</v>
      </c>
      <c r="H82" s="134">
        <f>SUM(H89)</f>
        <v>0</v>
      </c>
      <c r="I82" s="134">
        <f>SUM(I89)</f>
        <v>0</v>
      </c>
      <c r="J82" s="134">
        <f>SUM(J89)</f>
        <v>0</v>
      </c>
      <c r="K82" s="134">
        <f>SUM(K89)</f>
        <v>0</v>
      </c>
      <c r="L82" s="134">
        <f>SUM(L89)</f>
        <v>0</v>
      </c>
    </row>
    <row r="83" spans="2:12" ht="25.5" customHeight="1">
      <c r="B83" s="139"/>
      <c r="C83" s="140" t="s">
        <v>193</v>
      </c>
      <c r="D83" s="140"/>
      <c r="E83" s="140"/>
      <c r="F83" s="140"/>
      <c r="G83" s="129">
        <f>SUM(G84)</f>
        <v>700000</v>
      </c>
      <c r="H83" s="129">
        <f>SUM(H84)</f>
        <v>1192000</v>
      </c>
      <c r="I83" s="129">
        <f>SUM(I84)</f>
        <v>1000000</v>
      </c>
      <c r="J83" s="129">
        <f>SUM(J84)</f>
        <v>0</v>
      </c>
      <c r="K83" s="129">
        <f>SUM(K84)</f>
        <v>0</v>
      </c>
      <c r="L83" s="129">
        <f>SUM(L84)</f>
        <v>0</v>
      </c>
    </row>
    <row r="84" spans="2:12" ht="12.75">
      <c r="B84" s="139"/>
      <c r="C84" s="124" t="s">
        <v>164</v>
      </c>
      <c r="D84" s="124"/>
      <c r="E84" s="124"/>
      <c r="F84" s="124"/>
      <c r="G84" s="129">
        <f>SUM(G85)</f>
        <v>700000</v>
      </c>
      <c r="H84" s="129">
        <f>SUM(H85,H87)</f>
        <v>1192000</v>
      </c>
      <c r="I84" s="129">
        <f>SUM(I85,I87)</f>
        <v>1000000</v>
      </c>
      <c r="J84" s="129">
        <f>SUM(J85)</f>
        <v>0</v>
      </c>
      <c r="K84" s="129">
        <f>SUM(K85)</f>
        <v>0</v>
      </c>
      <c r="L84" s="129">
        <f>SUM(L85)</f>
        <v>0</v>
      </c>
    </row>
    <row r="85" spans="2:12" s="121" customFormat="1" ht="12.75">
      <c r="B85" s="141"/>
      <c r="C85" s="125" t="s">
        <v>194</v>
      </c>
      <c r="D85" s="126" t="s">
        <v>181</v>
      </c>
      <c r="E85" s="127">
        <v>2008</v>
      </c>
      <c r="F85" s="128">
        <v>2012</v>
      </c>
      <c r="G85" s="129">
        <f>SUM(G86:G86)</f>
        <v>700000</v>
      </c>
      <c r="H85" s="129">
        <f>SUM(H86:H86)</f>
        <v>192000</v>
      </c>
      <c r="I85" s="129">
        <f>SUM(I86:I86)</f>
        <v>0</v>
      </c>
      <c r="J85" s="129">
        <f>SUM(J86:J86)</f>
        <v>0</v>
      </c>
      <c r="K85" s="129">
        <f>SUM(K86:K86)</f>
        <v>0</v>
      </c>
      <c r="L85" s="129">
        <f>SUM(L86:L86)</f>
        <v>0</v>
      </c>
    </row>
    <row r="86" spans="2:12" s="121" customFormat="1" ht="12.75">
      <c r="B86" s="141"/>
      <c r="C86" s="124" t="s">
        <v>164</v>
      </c>
      <c r="D86" s="143"/>
      <c r="E86" s="143"/>
      <c r="F86" s="132"/>
      <c r="G86" s="133">
        <v>700000</v>
      </c>
      <c r="H86" s="133">
        <v>192000</v>
      </c>
      <c r="I86" s="133">
        <v>0</v>
      </c>
      <c r="J86" s="133">
        <v>0</v>
      </c>
      <c r="K86" s="133">
        <v>0</v>
      </c>
      <c r="L86" s="133">
        <v>0</v>
      </c>
    </row>
    <row r="87" spans="2:12" s="121" customFormat="1" ht="12.75">
      <c r="B87" s="141"/>
      <c r="C87" s="125" t="s">
        <v>195</v>
      </c>
      <c r="D87" s="126" t="s">
        <v>181</v>
      </c>
      <c r="E87" s="127">
        <v>2012</v>
      </c>
      <c r="F87" s="128">
        <v>2013</v>
      </c>
      <c r="G87" s="129">
        <f>SUM(G88:G88)</f>
        <v>0</v>
      </c>
      <c r="H87" s="129">
        <f>SUM(H88:H88)</f>
        <v>1000000</v>
      </c>
      <c r="I87" s="129">
        <f>SUM(I88:I88)</f>
        <v>1000000</v>
      </c>
      <c r="J87" s="129">
        <f>SUM(J88:J88)</f>
        <v>0</v>
      </c>
      <c r="K87" s="129">
        <f>SUM(K88:K88)</f>
        <v>0</v>
      </c>
      <c r="L87" s="129">
        <f>SUM(L88:L88)</f>
        <v>0</v>
      </c>
    </row>
    <row r="88" spans="2:12" s="121" customFormat="1" ht="12.75">
      <c r="B88" s="141"/>
      <c r="C88" s="124" t="s">
        <v>164</v>
      </c>
      <c r="D88" s="143"/>
      <c r="E88" s="143"/>
      <c r="F88" s="132"/>
      <c r="G88" s="133">
        <v>0</v>
      </c>
      <c r="H88" s="133">
        <v>1000000</v>
      </c>
      <c r="I88" s="133">
        <v>1000000</v>
      </c>
      <c r="J88" s="133">
        <v>0</v>
      </c>
      <c r="K88" s="133">
        <v>0</v>
      </c>
      <c r="L88" s="133">
        <v>0</v>
      </c>
    </row>
    <row r="89" ht="12.75">
      <c r="C89" t="s">
        <v>53</v>
      </c>
    </row>
    <row r="90" spans="8:11" ht="12.75">
      <c r="H90" s="39"/>
      <c r="I90" s="39"/>
      <c r="J90" s="39"/>
      <c r="K90" s="39"/>
    </row>
    <row r="91" spans="8:11" ht="12.75">
      <c r="H91" s="39"/>
      <c r="I91" s="39"/>
      <c r="J91" s="39"/>
      <c r="K91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62:F62"/>
    <mergeCell ref="C63:F63"/>
    <mergeCell ref="C64:F64"/>
    <mergeCell ref="C65:F65"/>
    <mergeCell ref="C66:F66"/>
    <mergeCell ref="C67:F67"/>
    <mergeCell ref="C75:F75"/>
    <mergeCell ref="C76:F76"/>
    <mergeCell ref="C78:F78"/>
    <mergeCell ref="C79:F79"/>
    <mergeCell ref="C80:F80"/>
    <mergeCell ref="C81:F81"/>
    <mergeCell ref="C82:F82"/>
    <mergeCell ref="C83:F83"/>
    <mergeCell ref="C84:F84"/>
    <mergeCell ref="H90:J90"/>
    <mergeCell ref="H91:J91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15" sqref="B15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196</v>
      </c>
      <c r="E1" s="147" t="str">
        <f>zał3!K2</f>
        <v>520/IX/2012</v>
      </c>
      <c r="F1" s="145"/>
      <c r="G1" s="145"/>
    </row>
    <row r="2" spans="1:7" ht="12" customHeight="1">
      <c r="A2" s="145" t="s">
        <v>197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68.25" customHeight="1">
      <c r="B7" s="149" t="s">
        <v>199</v>
      </c>
      <c r="C7" s="149"/>
      <c r="D7" s="149"/>
      <c r="E7" s="149"/>
      <c r="F7" s="149"/>
      <c r="G7" s="149"/>
    </row>
    <row r="9" ht="10.5" customHeight="1">
      <c r="A9" s="150" t="s">
        <v>200</v>
      </c>
    </row>
    <row r="10" spans="1:6" s="153" customFormat="1" ht="11.25" customHeight="1">
      <c r="A10" s="150">
        <v>1</v>
      </c>
      <c r="B10" s="151" t="str">
        <f>IF(C39&lt;=0,$C$43,$C$44)</f>
        <v>Zwiększyć</v>
      </c>
      <c r="C10" s="151" t="s">
        <v>201</v>
      </c>
      <c r="D10" s="151"/>
      <c r="E10" s="151"/>
      <c r="F10" s="152">
        <f>ABS('Ogółem Zmiany w paragrafach '!D104)</f>
        <v>761</v>
      </c>
    </row>
    <row r="11" spans="1:6" s="153" customFormat="1" ht="12.75">
      <c r="A11" s="150">
        <v>2</v>
      </c>
      <c r="B11" s="151" t="str">
        <f>IF(C38&lt;=0,$C$43,$C$44)</f>
        <v>Zmniejszyć</v>
      </c>
      <c r="C11" s="151" t="s">
        <v>202</v>
      </c>
      <c r="D11" s="151"/>
      <c r="E11" s="151"/>
      <c r="F11" s="152">
        <f>ABS('Ogółem Zmiany w paragrafach '!D100)</f>
        <v>0</v>
      </c>
    </row>
    <row r="12" spans="1:6" ht="12.75">
      <c r="A12" s="150">
        <v>3</v>
      </c>
      <c r="B12" s="154" t="str">
        <f>IF(C40&lt;=0,$C$43,$C$44)</f>
        <v>Zwiększyć</v>
      </c>
      <c r="C12" s="154" t="s">
        <v>203</v>
      </c>
      <c r="D12" s="154"/>
      <c r="E12" s="154"/>
      <c r="F12" s="95">
        <f>ABS('Ogółem Zmiany w paragrafach '!G104)</f>
        <v>761</v>
      </c>
    </row>
    <row r="13" spans="1:6" ht="12.75">
      <c r="A13" s="150">
        <v>4</v>
      </c>
      <c r="B13" s="154" t="str">
        <f>IF(C41&lt;=0,$C$43,$C$44)</f>
        <v>Zmniejszyć</v>
      </c>
      <c r="C13" s="154" t="s">
        <v>204</v>
      </c>
      <c r="D13" s="154"/>
      <c r="E13" s="154"/>
      <c r="F13" s="95">
        <f>ABS('Ogółem Zmiany w paragrafach '!G100)</f>
        <v>0</v>
      </c>
    </row>
    <row r="15" spans="1:6" ht="12.75">
      <c r="A15" s="150" t="s">
        <v>205</v>
      </c>
      <c r="B15" s="155" t="s">
        <v>206</v>
      </c>
      <c r="C15" s="155"/>
      <c r="D15" s="155"/>
      <c r="E15" s="155"/>
      <c r="F15" s="152">
        <f>zał2!F8</f>
        <v>91251414.13</v>
      </c>
    </row>
    <row r="16" spans="1:6" ht="12.75" customHeight="1">
      <c r="A16">
        <v>1</v>
      </c>
      <c r="B16" s="155" t="s">
        <v>207</v>
      </c>
      <c r="C16" s="155"/>
      <c r="D16" s="155"/>
      <c r="E16" s="155"/>
      <c r="F16" s="152">
        <f>zał2!F9</f>
        <v>61007441.13</v>
      </c>
    </row>
    <row r="17" spans="1:6" ht="12.75" customHeight="1">
      <c r="A17">
        <v>2</v>
      </c>
      <c r="B17" s="156" t="s">
        <v>208</v>
      </c>
      <c r="C17" s="156"/>
      <c r="D17" s="156"/>
      <c r="E17" s="156"/>
      <c r="F17" s="152">
        <f>zał2!F10</f>
        <v>30243973</v>
      </c>
    </row>
    <row r="18" ht="12.75">
      <c r="F18" s="95"/>
    </row>
    <row r="19" spans="1:6" ht="12.75" customHeight="1">
      <c r="A19" s="150" t="s">
        <v>209</v>
      </c>
      <c r="B19" s="155" t="s">
        <v>210</v>
      </c>
      <c r="C19" s="155"/>
      <c r="D19" s="155"/>
      <c r="E19" s="155"/>
      <c r="F19" s="152">
        <f>zał2!F12</f>
        <v>93055179.13</v>
      </c>
    </row>
    <row r="20" spans="1:6" ht="15" customHeight="1">
      <c r="A20">
        <v>1</v>
      </c>
      <c r="B20" s="156" t="s">
        <v>211</v>
      </c>
      <c r="C20" s="156"/>
      <c r="D20" s="156"/>
      <c r="E20" s="156"/>
      <c r="F20" s="152">
        <f>zał2!F13</f>
        <v>61292450.61</v>
      </c>
    </row>
    <row r="21" spans="1:6" ht="12.75" customHeight="1">
      <c r="A21">
        <v>2</v>
      </c>
      <c r="B21" s="155" t="s">
        <v>212</v>
      </c>
      <c r="C21" s="155"/>
      <c r="D21" s="155"/>
      <c r="E21" s="155"/>
      <c r="F21" s="152">
        <f>zał2!F14</f>
        <v>31762728.52</v>
      </c>
    </row>
    <row r="23" spans="1:5" ht="12.75" customHeight="1">
      <c r="A23" s="157" t="s">
        <v>213</v>
      </c>
      <c r="B23" s="158" t="s">
        <v>214</v>
      </c>
      <c r="C23" s="158"/>
      <c r="D23" s="158"/>
      <c r="E23" s="158"/>
    </row>
    <row r="25" spans="1:7" ht="23.25" customHeight="1">
      <c r="A25" s="159" t="s">
        <v>215</v>
      </c>
      <c r="B25" s="160" t="s">
        <v>216</v>
      </c>
      <c r="C25" s="160"/>
      <c r="D25" s="160"/>
      <c r="E25" s="160"/>
      <c r="F25" s="160"/>
      <c r="G25" s="160"/>
    </row>
    <row r="28" spans="4:7" ht="12.75" customHeight="1">
      <c r="D28" s="161" t="s">
        <v>217</v>
      </c>
      <c r="E28" s="161"/>
      <c r="F28" s="161"/>
      <c r="G28" s="161"/>
    </row>
    <row r="30" spans="4:7" ht="12.75" customHeight="1">
      <c r="D30" s="161" t="s">
        <v>218</v>
      </c>
      <c r="E30" s="161"/>
      <c r="F30" s="161"/>
      <c r="G30" s="161"/>
    </row>
    <row r="31" ht="12.75">
      <c r="E31" s="162"/>
    </row>
    <row r="38" ht="12.75">
      <c r="C38" s="153">
        <f>'Ogółem Zmiany w paragrafach '!D100</f>
        <v>0</v>
      </c>
    </row>
    <row r="39" ht="12.75">
      <c r="C39" s="153">
        <f>'Ogółem Zmiany w paragrafach '!D104</f>
        <v>761</v>
      </c>
    </row>
    <row r="40" ht="12.75">
      <c r="C40" s="153">
        <f>'Ogółem Zmiany w paragrafach '!G104</f>
        <v>761</v>
      </c>
    </row>
    <row r="41" ht="12.75">
      <c r="C41" s="153">
        <f>'Ogółem Zmiany w paragrafach '!G100</f>
        <v>0</v>
      </c>
    </row>
    <row r="42" ht="12.75">
      <c r="C42" s="153"/>
    </row>
    <row r="43" ht="12.75">
      <c r="C43" s="153" t="s">
        <v>219</v>
      </c>
    </row>
    <row r="44" ht="12.75">
      <c r="C44" s="153" t="s">
        <v>220</v>
      </c>
    </row>
  </sheetData>
  <sheetProtection selectLockedCells="1" selectUnlockedCells="1"/>
  <mergeCells count="18">
    <mergeCell ref="A2:G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E23"/>
    <mergeCell ref="B25:G25"/>
    <mergeCell ref="D28:G28"/>
    <mergeCell ref="D30:G3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4">
      <selection activeCell="A24" sqref="A24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39.57421875" style="0" customWidth="1"/>
    <col min="4" max="4" width="15.28125" style="0" customWidth="1"/>
    <col min="5" max="16384" width="11.57421875" style="0" customWidth="1"/>
  </cols>
  <sheetData>
    <row r="1" spans="1:4" ht="12.75">
      <c r="A1" s="163" t="s">
        <v>221</v>
      </c>
      <c r="B1" s="163"/>
      <c r="C1" s="163"/>
      <c r="D1" s="163"/>
    </row>
    <row r="2" spans="1:4" ht="34.5" customHeight="1">
      <c r="A2" s="164"/>
      <c r="B2" s="165"/>
      <c r="C2" s="165"/>
      <c r="D2" s="165"/>
    </row>
    <row r="3" spans="1:4" ht="12.75">
      <c r="A3" s="166" t="s">
        <v>222</v>
      </c>
      <c r="B3" s="166"/>
      <c r="C3" s="166" t="s">
        <v>223</v>
      </c>
      <c r="D3" s="166"/>
    </row>
    <row r="4" spans="1:4" ht="12.75">
      <c r="A4" s="167" t="s">
        <v>224</v>
      </c>
      <c r="B4" s="167"/>
      <c r="C4" s="167"/>
      <c r="D4" s="167"/>
    </row>
    <row r="5" spans="1:4" ht="12.75">
      <c r="A5" s="168" t="s">
        <v>225</v>
      </c>
      <c r="B5" s="169">
        <v>100912</v>
      </c>
      <c r="C5" s="168" t="s">
        <v>226</v>
      </c>
      <c r="D5" s="169">
        <v>100912</v>
      </c>
    </row>
    <row r="6" spans="1:4" ht="17.25" customHeight="1">
      <c r="A6" s="170" t="s">
        <v>227</v>
      </c>
      <c r="B6" s="170"/>
      <c r="C6" s="170"/>
      <c r="D6" s="170"/>
    </row>
    <row r="7" spans="1:4" ht="48" customHeight="1">
      <c r="A7" s="171"/>
      <c r="B7" s="172"/>
      <c r="C7" s="171" t="s">
        <v>228</v>
      </c>
      <c r="D7" s="172">
        <v>19850</v>
      </c>
    </row>
    <row r="8" spans="1:4" ht="12.75">
      <c r="A8" s="171"/>
      <c r="B8" s="172"/>
      <c r="C8" s="171" t="s">
        <v>229</v>
      </c>
      <c r="D8" s="172">
        <v>6150</v>
      </c>
    </row>
    <row r="9" spans="1:4" ht="17.25" customHeight="1">
      <c r="A9" s="170" t="s">
        <v>230</v>
      </c>
      <c r="B9" s="170"/>
      <c r="C9" s="170"/>
      <c r="D9" s="170"/>
    </row>
    <row r="10" spans="1:4" ht="12.75">
      <c r="A10" s="171"/>
      <c r="B10" s="172"/>
      <c r="C10" s="171" t="s">
        <v>231</v>
      </c>
      <c r="D10" s="172">
        <v>40000</v>
      </c>
    </row>
    <row r="11" spans="1:4" ht="17.25" customHeight="1">
      <c r="A11" s="170" t="s">
        <v>232</v>
      </c>
      <c r="B11" s="170"/>
      <c r="C11" s="170"/>
      <c r="D11" s="170"/>
    </row>
    <row r="12" spans="1:4" ht="45.75" customHeight="1">
      <c r="A12" s="171"/>
      <c r="B12" s="172"/>
      <c r="C12" s="171" t="s">
        <v>233</v>
      </c>
      <c r="D12" s="172">
        <v>2000</v>
      </c>
    </row>
    <row r="13" spans="1:4" ht="50.25" customHeight="1">
      <c r="A13" s="171"/>
      <c r="B13" s="172"/>
      <c r="C13" s="171" t="s">
        <v>234</v>
      </c>
      <c r="D13" s="172">
        <v>-26000</v>
      </c>
    </row>
    <row r="14" spans="1:4" ht="38.25" customHeight="1">
      <c r="A14" s="170" t="s">
        <v>235</v>
      </c>
      <c r="B14" s="170"/>
      <c r="C14" s="170"/>
      <c r="D14" s="170"/>
    </row>
    <row r="15" spans="1:4" ht="33.75" customHeight="1">
      <c r="A15" s="171"/>
      <c r="B15" s="172"/>
      <c r="C15" s="171" t="s">
        <v>236</v>
      </c>
      <c r="D15" s="172">
        <v>-2000</v>
      </c>
    </row>
    <row r="16" spans="1:4" ht="33" customHeight="1">
      <c r="A16" s="171"/>
      <c r="B16" s="172"/>
      <c r="C16" s="171" t="s">
        <v>237</v>
      </c>
      <c r="D16" s="172">
        <v>0</v>
      </c>
    </row>
    <row r="17" spans="1:4" ht="21.75" customHeight="1">
      <c r="A17" s="170" t="s">
        <v>238</v>
      </c>
      <c r="B17" s="170"/>
      <c r="C17" s="170"/>
      <c r="D17" s="170"/>
    </row>
    <row r="18" spans="1:4" ht="45.75" customHeight="1">
      <c r="A18" s="171"/>
      <c r="B18" s="172"/>
      <c r="C18" s="171" t="s">
        <v>239</v>
      </c>
      <c r="D18" s="172">
        <v>0</v>
      </c>
    </row>
    <row r="19" spans="1:4" ht="33" customHeight="1">
      <c r="A19" s="171"/>
      <c r="B19" s="172"/>
      <c r="C19" s="171" t="s">
        <v>240</v>
      </c>
      <c r="D19" s="172">
        <v>-8400</v>
      </c>
    </row>
    <row r="20" spans="1:4" ht="53.25" customHeight="1">
      <c r="A20" s="171"/>
      <c r="B20" s="172"/>
      <c r="C20" s="171" t="s">
        <v>241</v>
      </c>
      <c r="D20" s="172">
        <v>8400</v>
      </c>
    </row>
    <row r="21" spans="1:4" ht="17.25" customHeight="1">
      <c r="A21" s="170" t="s">
        <v>242</v>
      </c>
      <c r="B21" s="170"/>
      <c r="C21" s="170"/>
      <c r="D21" s="170"/>
    </row>
    <row r="22" spans="1:4" ht="47.25" customHeight="1">
      <c r="A22" s="171"/>
      <c r="B22" s="172"/>
      <c r="C22" s="173" t="s">
        <v>243</v>
      </c>
      <c r="D22" s="172">
        <v>-40000</v>
      </c>
    </row>
    <row r="23" spans="1:4" ht="12.75">
      <c r="A23" s="174" t="s">
        <v>244</v>
      </c>
      <c r="B23" s="172">
        <f>SUM(B5:B22)</f>
        <v>100912</v>
      </c>
      <c r="C23" s="174" t="s">
        <v>244</v>
      </c>
      <c r="D23" s="172">
        <f>SUM(D5:D22)</f>
        <v>100912</v>
      </c>
    </row>
    <row r="24" spans="1:2" ht="12.75">
      <c r="A24" s="175" t="s">
        <v>245</v>
      </c>
      <c r="B24" s="95"/>
    </row>
  </sheetData>
  <sheetProtection selectLockedCells="1" selectUnlockedCells="1"/>
  <mergeCells count="10">
    <mergeCell ref="A1:D1"/>
    <mergeCell ref="A3:B3"/>
    <mergeCell ref="C3:D3"/>
    <mergeCell ref="A4:D4"/>
    <mergeCell ref="A6:D6"/>
    <mergeCell ref="A9:D9"/>
    <mergeCell ref="A11:D11"/>
    <mergeCell ref="A14:D14"/>
    <mergeCell ref="A17:D17"/>
    <mergeCell ref="A21:D21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31" sqref="B31"/>
    </sheetView>
  </sheetViews>
  <sheetFormatPr defaultColWidth="12.57421875" defaultRowHeight="12.75"/>
  <cols>
    <col min="1" max="1" width="4.00390625" style="0" customWidth="1"/>
    <col min="2" max="2" width="9.8515625" style="0" customWidth="1"/>
    <col min="3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246</v>
      </c>
      <c r="E1" s="176" t="str">
        <f>zał3!K2</f>
        <v>520/IX/2012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24.75" customHeight="1">
      <c r="B7" s="177" t="s">
        <v>247</v>
      </c>
      <c r="C7" s="177"/>
      <c r="D7" s="177"/>
      <c r="E7" s="177"/>
      <c r="F7" s="177"/>
      <c r="G7" s="177"/>
    </row>
    <row r="8" s="153" customFormat="1" ht="12.75"/>
    <row r="9" spans="1:6" s="153" customFormat="1" ht="12.75">
      <c r="A9" s="150" t="s">
        <v>200</v>
      </c>
      <c r="B9"/>
      <c r="C9"/>
      <c r="D9"/>
      <c r="E9"/>
      <c r="F9"/>
    </row>
    <row r="10" spans="1:6" s="153" customFormat="1" ht="12.75">
      <c r="A10">
        <v>1</v>
      </c>
      <c r="B10" s="154" t="str">
        <f>'Uchwała '!B10</f>
        <v>Zwiększyć</v>
      </c>
      <c r="C10" s="154" t="s">
        <v>201</v>
      </c>
      <c r="D10" s="154"/>
      <c r="E10" s="154"/>
      <c r="F10" s="95">
        <f>ABS('Ogółem Zmiany w paragrafach '!D104)</f>
        <v>761</v>
      </c>
    </row>
    <row r="11" spans="1:6" s="153" customFormat="1" ht="12.75">
      <c r="A11" s="153">
        <v>2</v>
      </c>
      <c r="B11" s="151" t="str">
        <f>'Uchwała '!B11</f>
        <v>Zmniejszyć</v>
      </c>
      <c r="C11" s="151" t="s">
        <v>202</v>
      </c>
      <c r="D11" s="151"/>
      <c r="E11" s="151"/>
      <c r="F11" s="152">
        <f>ABS('Ogółem Zmiany w paragrafach '!D100)</f>
        <v>0</v>
      </c>
    </row>
    <row r="12" spans="1:6" s="153" customFormat="1" ht="12.75">
      <c r="A12">
        <v>2</v>
      </c>
      <c r="B12" s="154" t="str">
        <f>'Uchwała '!B12</f>
        <v>Zwiększyć</v>
      </c>
      <c r="C12" s="154" t="s">
        <v>203</v>
      </c>
      <c r="D12" s="154"/>
      <c r="E12" s="154"/>
      <c r="F12" s="95">
        <f>ABS('Ogółem Zmiany w paragrafach '!G104)</f>
        <v>761</v>
      </c>
    </row>
    <row r="13" spans="1:6" s="153" customFormat="1" ht="12.75">
      <c r="A13" s="153">
        <v>4</v>
      </c>
      <c r="B13" s="151" t="str">
        <f>'Uchwała '!B13</f>
        <v>Zmniejszyć</v>
      </c>
      <c r="C13" s="151" t="s">
        <v>204</v>
      </c>
      <c r="D13" s="151"/>
      <c r="E13" s="151"/>
      <c r="F13" s="152">
        <f>ABS('Ogółem Zmiany w paragrafach '!G100)</f>
        <v>0</v>
      </c>
    </row>
    <row r="14" spans="1:6" s="153" customFormat="1" ht="12.75">
      <c r="A14" s="150"/>
      <c r="B14" s="178"/>
      <c r="C14" s="154"/>
      <c r="D14" s="154"/>
      <c r="E14" s="154"/>
      <c r="F14" s="95"/>
    </row>
    <row r="15" spans="1:6" ht="12.75">
      <c r="A15" s="150" t="s">
        <v>205</v>
      </c>
      <c r="B15" s="155" t="s">
        <v>206</v>
      </c>
      <c r="C15" s="155"/>
      <c r="D15" s="155"/>
      <c r="E15" s="155"/>
      <c r="F15" s="152">
        <f>zał2!F8</f>
        <v>91251414.13</v>
      </c>
    </row>
    <row r="16" spans="1:6" s="153" customFormat="1" ht="12.75" customHeight="1">
      <c r="A16" s="153">
        <v>1</v>
      </c>
      <c r="B16" s="179" t="s">
        <v>207</v>
      </c>
      <c r="C16" s="179"/>
      <c r="D16" s="179"/>
      <c r="E16" s="179"/>
      <c r="F16" s="152">
        <f>zał2!F9</f>
        <v>61007441.13</v>
      </c>
    </row>
    <row r="17" spans="1:6" s="153" customFormat="1" ht="12.75" customHeight="1">
      <c r="A17" s="153">
        <v>2</v>
      </c>
      <c r="B17" s="180" t="s">
        <v>208</v>
      </c>
      <c r="C17" s="180"/>
      <c r="D17" s="180"/>
      <c r="E17" s="180"/>
      <c r="F17" s="152">
        <f>zał2!F10</f>
        <v>30243973</v>
      </c>
    </row>
    <row r="18" s="153" customFormat="1" ht="12.75">
      <c r="F18" s="152"/>
    </row>
    <row r="19" spans="1:6" s="153" customFormat="1" ht="12.75" customHeight="1">
      <c r="A19" s="181" t="s">
        <v>209</v>
      </c>
      <c r="B19" s="179" t="s">
        <v>210</v>
      </c>
      <c r="C19" s="179"/>
      <c r="D19" s="179"/>
      <c r="E19" s="179"/>
      <c r="F19" s="152">
        <f>zał2!F12</f>
        <v>93055179.13</v>
      </c>
    </row>
    <row r="20" spans="1:6" s="153" customFormat="1" ht="15" customHeight="1">
      <c r="A20" s="153">
        <v>1</v>
      </c>
      <c r="B20" s="180" t="s">
        <v>211</v>
      </c>
      <c r="C20" s="180"/>
      <c r="D20" s="180"/>
      <c r="E20" s="180"/>
      <c r="F20" s="152">
        <f>zał2!F13</f>
        <v>61292450.61</v>
      </c>
    </row>
    <row r="21" spans="1:6" s="153" customFormat="1" ht="12.75" customHeight="1">
      <c r="A21" s="153">
        <v>2</v>
      </c>
      <c r="B21" s="179" t="s">
        <v>212</v>
      </c>
      <c r="C21" s="179"/>
      <c r="D21" s="179"/>
      <c r="E21" s="179"/>
      <c r="F21" s="152">
        <f>zał2!F14</f>
        <v>31762728.52</v>
      </c>
    </row>
    <row r="23" spans="1:7" ht="24.75" customHeight="1">
      <c r="A23" s="157" t="s">
        <v>213</v>
      </c>
      <c r="B23" s="182" t="s">
        <v>248</v>
      </c>
      <c r="C23" s="182"/>
      <c r="D23" s="182"/>
      <c r="E23" s="182"/>
      <c r="F23" s="182"/>
      <c r="G23" s="182"/>
    </row>
    <row r="26" spans="4:7" ht="12.75" customHeight="1">
      <c r="D26" s="161" t="s">
        <v>249</v>
      </c>
      <c r="E26" s="161"/>
      <c r="F26" s="161"/>
      <c r="G26" s="161"/>
    </row>
    <row r="28" spans="4:7" ht="12.75" customHeight="1">
      <c r="D28" s="161" t="s">
        <v>250</v>
      </c>
      <c r="E28" s="161"/>
      <c r="F28" s="161"/>
      <c r="G28" s="161"/>
    </row>
  </sheetData>
  <sheetProtection selectLockedCells="1" selectUnlockedCells="1"/>
  <mergeCells count="17">
    <mergeCell ref="D2:E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selection activeCell="I6" sqref="I6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83" t="s">
        <v>251</v>
      </c>
      <c r="B1" s="183"/>
      <c r="C1" s="183"/>
      <c r="D1" s="183"/>
      <c r="E1" s="183"/>
      <c r="F1" s="183"/>
      <c r="G1" s="183"/>
      <c r="H1" s="183"/>
    </row>
    <row r="2" spans="1:8" ht="12.75">
      <c r="A2" s="139"/>
      <c r="B2" s="139"/>
      <c r="C2" s="184" t="s">
        <v>252</v>
      </c>
      <c r="D2" s="184"/>
      <c r="E2" s="184"/>
      <c r="F2" s="184" t="s">
        <v>253</v>
      </c>
      <c r="G2" s="184"/>
      <c r="H2" s="184"/>
    </row>
    <row r="3" spans="1:15" ht="65.25" customHeight="1">
      <c r="A3" s="185" t="s">
        <v>254</v>
      </c>
      <c r="B3" s="185" t="s">
        <v>255</v>
      </c>
      <c r="C3" s="186" t="s">
        <v>256</v>
      </c>
      <c r="D3" s="185" t="s">
        <v>257</v>
      </c>
      <c r="E3" s="185" t="s">
        <v>258</v>
      </c>
      <c r="F3" s="186" t="s">
        <v>256</v>
      </c>
      <c r="G3" s="185" t="s">
        <v>257</v>
      </c>
      <c r="H3" s="185" t="s">
        <v>258</v>
      </c>
      <c r="I3" s="187"/>
      <c r="J3" s="187"/>
      <c r="K3" s="188"/>
      <c r="L3" s="189" t="s">
        <v>259</v>
      </c>
      <c r="M3" s="189" t="s">
        <v>259</v>
      </c>
      <c r="N3" s="189" t="s">
        <v>260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 t="s">
        <v>261</v>
      </c>
      <c r="B5" s="191" t="s">
        <v>262</v>
      </c>
      <c r="C5" s="191"/>
      <c r="D5" s="192"/>
      <c r="E5" s="192"/>
      <c r="F5" s="193">
        <v>4210</v>
      </c>
      <c r="G5" s="192">
        <v>50000</v>
      </c>
      <c r="H5" s="192"/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/>
      <c r="C6" s="191"/>
      <c r="D6" s="192"/>
      <c r="E6" s="192"/>
      <c r="F6" s="193">
        <v>4300</v>
      </c>
      <c r="G6" s="192"/>
      <c r="H6" s="192">
        <v>50000</v>
      </c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 t="s">
        <v>263</v>
      </c>
      <c r="C7" s="191"/>
      <c r="D7" s="192"/>
      <c r="E7" s="192"/>
      <c r="F7" s="193">
        <v>4260</v>
      </c>
      <c r="G7" s="192">
        <v>47000</v>
      </c>
      <c r="H7" s="192"/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/>
      <c r="C8" s="191"/>
      <c r="D8" s="192"/>
      <c r="E8" s="192"/>
      <c r="F8" s="193">
        <v>4300</v>
      </c>
      <c r="G8" s="192"/>
      <c r="H8" s="192">
        <v>47000</v>
      </c>
      <c r="I8" s="196"/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1" t="s">
        <v>263</v>
      </c>
      <c r="C9" s="191"/>
      <c r="D9" s="192"/>
      <c r="E9" s="192"/>
      <c r="F9" s="193">
        <v>4360</v>
      </c>
      <c r="G9" s="192"/>
      <c r="H9" s="192">
        <v>5000</v>
      </c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/>
      <c r="C10" s="191"/>
      <c r="D10" s="192"/>
      <c r="E10" s="192"/>
      <c r="F10" s="193">
        <v>4420</v>
      </c>
      <c r="G10" s="192">
        <v>5000</v>
      </c>
      <c r="H10" s="192"/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5">
        <f>IF($B10=75022,G10,0)+IF($B10=75023,G10,0)</f>
        <v>0</v>
      </c>
      <c r="O10" s="6">
        <f>IF($B10=75022,H10,0)+IF($B10=75023,H10,0)</f>
        <v>0</v>
      </c>
    </row>
    <row r="11" spans="1:15" ht="12.75">
      <c r="A11" s="190"/>
      <c r="B11" s="191" t="s">
        <v>264</v>
      </c>
      <c r="C11" s="191"/>
      <c r="D11" s="192"/>
      <c r="E11" s="192"/>
      <c r="F11" s="193">
        <v>4210</v>
      </c>
      <c r="G11" s="192"/>
      <c r="H11" s="192">
        <v>7000</v>
      </c>
      <c r="I11" s="196"/>
      <c r="L11" s="19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5">
        <f>IF($B11=75022,G11,0)+IF($B11=75023,G11,0)</f>
        <v>0</v>
      </c>
      <c r="O11" s="195" t="s">
        <v>265</v>
      </c>
    </row>
    <row r="12" spans="1:15" ht="12.75">
      <c r="A12" s="190"/>
      <c r="B12" s="191"/>
      <c r="C12" s="191"/>
      <c r="D12" s="192"/>
      <c r="E12" s="192"/>
      <c r="F12" s="193">
        <v>4300</v>
      </c>
      <c r="G12" s="192">
        <v>7000</v>
      </c>
      <c r="H12" s="192"/>
      <c r="I12" s="196"/>
      <c r="L12" s="19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5">
        <f>IF($B12=75022,G12,0)+IF($B12=75023,G12,0)</f>
        <v>0</v>
      </c>
      <c r="O12" s="195">
        <f>IF($B12=75022,H12,0)+IF($B12=75023,H12,0)</f>
        <v>0</v>
      </c>
    </row>
    <row r="13" spans="1:15" ht="12.75">
      <c r="A13" s="190"/>
      <c r="B13" s="191" t="s">
        <v>266</v>
      </c>
      <c r="C13" s="191"/>
      <c r="D13" s="192"/>
      <c r="E13" s="192"/>
      <c r="F13" s="193">
        <v>4300</v>
      </c>
      <c r="G13" s="192"/>
      <c r="H13" s="192">
        <v>5000</v>
      </c>
      <c r="I13" s="196"/>
      <c r="L13" s="19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5">
        <f>IF($B13=75022,G13,0)+IF($B13=75023,G13,0)</f>
        <v>0</v>
      </c>
      <c r="O13" s="195">
        <f>IF($B13=75022,H13,0)+IF($B13=75023,H13,0)</f>
        <v>0</v>
      </c>
    </row>
    <row r="14" spans="1:15" ht="12.75">
      <c r="A14" s="190"/>
      <c r="B14" s="191"/>
      <c r="C14" s="191"/>
      <c r="D14" s="192"/>
      <c r="E14" s="192"/>
      <c r="F14" s="193">
        <v>4210</v>
      </c>
      <c r="G14" s="192">
        <v>5000</v>
      </c>
      <c r="H14" s="192"/>
      <c r="I14" s="196"/>
      <c r="L14" s="19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5">
        <f>IF($B14=75022,G14,0)+IF($B14=75023,G14,0)</f>
        <v>0</v>
      </c>
      <c r="O14" s="195">
        <f>IF($B14=75022,H14,0)+IF($B14=75023,H14,0)</f>
        <v>0</v>
      </c>
    </row>
    <row r="15" spans="1:15" ht="12.75">
      <c r="A15" s="197"/>
      <c r="B15" s="198" t="s">
        <v>267</v>
      </c>
      <c r="C15" s="198"/>
      <c r="D15" s="199"/>
      <c r="E15" s="199"/>
      <c r="F15" s="200">
        <v>4580</v>
      </c>
      <c r="G15" s="199"/>
      <c r="H15" s="199">
        <v>3000</v>
      </c>
      <c r="I15" s="196" t="s">
        <v>268</v>
      </c>
      <c r="L15" s="19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5">
        <f>IF($B15=75022,G15,0)+IF($B15=75023,G15,0)</f>
        <v>0</v>
      </c>
      <c r="O15" s="195">
        <f>IF($B15=75022,H15,0)+IF($B15=75023,H15,0)</f>
        <v>0</v>
      </c>
    </row>
    <row r="16" spans="1:15" ht="12.75">
      <c r="A16" s="201"/>
      <c r="B16" s="202" t="s">
        <v>269</v>
      </c>
      <c r="C16" s="202"/>
      <c r="D16" s="203"/>
      <c r="E16" s="203"/>
      <c r="F16" s="204">
        <v>4210</v>
      </c>
      <c r="G16" s="203">
        <v>3000</v>
      </c>
      <c r="H16" s="203"/>
      <c r="I16" s="196" t="s">
        <v>268</v>
      </c>
      <c r="L16" s="19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95">
        <f>IF($B16=75022,G16,0)+IF($B16=75023,G16,0)</f>
        <v>0</v>
      </c>
      <c r="O16" s="195">
        <f>IF($B16=75022,H16,0)+IF($B16=75023,H16,0)</f>
        <v>0</v>
      </c>
    </row>
    <row r="17" spans="1:15" ht="12.75">
      <c r="A17" s="190"/>
      <c r="B17" s="191" t="s">
        <v>270</v>
      </c>
      <c r="C17" s="191"/>
      <c r="D17" s="192"/>
      <c r="E17" s="192"/>
      <c r="F17" s="193">
        <v>4260</v>
      </c>
      <c r="G17" s="192"/>
      <c r="H17" s="192">
        <v>9000</v>
      </c>
      <c r="I17" s="196"/>
      <c r="L17" s="19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5">
        <f>IF($B17=75022,G17,0)+IF($B17=75023,G17,0)</f>
        <v>0</v>
      </c>
      <c r="O17" s="195">
        <f>IF($B17=75022,H17,0)+IF($B17=75023,H17,0)</f>
        <v>0</v>
      </c>
    </row>
    <row r="18" spans="1:15" ht="12.75">
      <c r="A18" s="190"/>
      <c r="B18" s="191"/>
      <c r="C18" s="191"/>
      <c r="D18" s="192"/>
      <c r="E18" s="192"/>
      <c r="F18" s="193">
        <v>4210</v>
      </c>
      <c r="G18" s="192">
        <v>5000</v>
      </c>
      <c r="H18" s="192"/>
      <c r="I18" s="196"/>
      <c r="L18" s="195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5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5">
        <f>IF($B18=75022,G18,0)+IF($B18=75023,G18,0)</f>
        <v>0</v>
      </c>
      <c r="O18" s="195">
        <f>IF($B18=75022,H18,0)+IF($B18=75023,H18,0)</f>
        <v>0</v>
      </c>
    </row>
    <row r="19" spans="1:15" ht="12.75">
      <c r="A19" s="190"/>
      <c r="B19" s="191"/>
      <c r="C19" s="191"/>
      <c r="D19" s="192"/>
      <c r="E19" s="192"/>
      <c r="F19" s="193">
        <v>4270</v>
      </c>
      <c r="G19" s="192">
        <v>4000</v>
      </c>
      <c r="H19" s="192"/>
      <c r="I19" s="196"/>
      <c r="L19" s="19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5">
        <f>IF($B19=75022,G19,0)+IF($B19=75023,G19,0)</f>
        <v>0</v>
      </c>
      <c r="O19" s="195">
        <f>IF($B19=75022,H19,0)+IF($B19=75023,H19,0)</f>
        <v>0</v>
      </c>
    </row>
    <row r="20" spans="1:15" ht="12.75">
      <c r="A20" s="190"/>
      <c r="B20" s="191" t="s">
        <v>271</v>
      </c>
      <c r="C20" s="191"/>
      <c r="D20" s="192"/>
      <c r="E20" s="192"/>
      <c r="F20" s="193">
        <v>4300</v>
      </c>
      <c r="G20" s="192"/>
      <c r="H20" s="192">
        <v>6000</v>
      </c>
      <c r="I20" s="196"/>
      <c r="L20" s="19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5">
        <f>IF($B20=75022,G20,0)+IF($B20=75023,G20,0)</f>
        <v>0</v>
      </c>
      <c r="O20" s="195">
        <f>IF($B20=75022,H20,0)+IF($B20=75023,H20,0)</f>
        <v>0</v>
      </c>
    </row>
    <row r="21" spans="1:15" ht="12.75">
      <c r="A21" s="190"/>
      <c r="B21" s="191"/>
      <c r="C21" s="191"/>
      <c r="D21" s="192"/>
      <c r="E21" s="192"/>
      <c r="F21" s="193">
        <v>4270</v>
      </c>
      <c r="G21" s="192">
        <v>6000</v>
      </c>
      <c r="H21" s="192"/>
      <c r="I21" s="196"/>
      <c r="L21" s="19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5">
        <f>IF($B21=75022,G21,0)+IF($B21=75023,G21,0)</f>
        <v>0</v>
      </c>
      <c r="O21" s="195">
        <f>IF($B21=75022,H21,0)+IF($B21=75023,H21,0)</f>
        <v>0</v>
      </c>
    </row>
    <row r="22" spans="1:15" ht="12.75">
      <c r="A22" s="190"/>
      <c r="B22" s="191" t="s">
        <v>272</v>
      </c>
      <c r="C22" s="191"/>
      <c r="D22" s="192"/>
      <c r="E22" s="192"/>
      <c r="F22" s="193">
        <v>4210</v>
      </c>
      <c r="G22" s="192">
        <v>20244</v>
      </c>
      <c r="H22" s="192"/>
      <c r="I22" s="196"/>
      <c r="L22" s="19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5">
        <f>IF($B22=75022,G22,0)+IF($B22=75023,G22,0)</f>
        <v>0</v>
      </c>
      <c r="O22" s="195">
        <f>IF($B22=75022,H22,0)+IF($B22=75023,H22,0)</f>
        <v>0</v>
      </c>
    </row>
    <row r="23" spans="1:15" ht="12.75">
      <c r="A23" s="190"/>
      <c r="B23" s="191"/>
      <c r="C23" s="191"/>
      <c r="D23" s="192"/>
      <c r="E23" s="192"/>
      <c r="F23" s="193">
        <v>4270</v>
      </c>
      <c r="G23" s="192">
        <v>10000</v>
      </c>
      <c r="H23" s="192"/>
      <c r="I23" s="196"/>
      <c r="L23" s="195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5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5">
        <f>IF($B23=75022,G23,0)+IF($B23=75023,G23,0)</f>
        <v>0</v>
      </c>
      <c r="O23" s="195">
        <f>IF($B23=75022,H23,0)+IF($B23=75023,H23,0)</f>
        <v>0</v>
      </c>
    </row>
    <row r="24" spans="1:15" ht="12.75">
      <c r="A24" s="190"/>
      <c r="B24" s="191"/>
      <c r="C24" s="191"/>
      <c r="D24" s="192"/>
      <c r="E24" s="192"/>
      <c r="F24" s="193">
        <v>4300</v>
      </c>
      <c r="G24" s="192"/>
      <c r="H24" s="192">
        <v>48058</v>
      </c>
      <c r="I24" s="196"/>
      <c r="L24" s="19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5">
        <f>IF($B24=75022,G24,0)+IF($B24=75023,G24,0)</f>
        <v>0</v>
      </c>
      <c r="O24" s="195">
        <f>IF($B24=75022,H24,0)+IF($B24=75023,H24,0)</f>
        <v>0</v>
      </c>
    </row>
    <row r="25" spans="1:15" ht="12.75">
      <c r="A25" s="190"/>
      <c r="B25" s="191"/>
      <c r="C25" s="191"/>
      <c r="D25" s="192"/>
      <c r="E25" s="192"/>
      <c r="F25" s="193">
        <v>4410</v>
      </c>
      <c r="G25" s="192">
        <v>2000</v>
      </c>
      <c r="H25" s="192"/>
      <c r="I25" s="196"/>
      <c r="L25" s="19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5">
        <f>IF($B25=75022,G25,0)+IF($B25=75023,G25,0)</f>
        <v>0</v>
      </c>
      <c r="O25" s="195">
        <f>IF($B25=75022,H25,0)+IF($B25=75023,H25,0)</f>
        <v>0</v>
      </c>
    </row>
    <row r="26" spans="1:15" ht="12.75">
      <c r="A26" s="190"/>
      <c r="B26" s="191"/>
      <c r="C26" s="191"/>
      <c r="D26" s="192"/>
      <c r="E26" s="192"/>
      <c r="F26" s="193">
        <v>4430</v>
      </c>
      <c r="G26" s="192">
        <v>8000</v>
      </c>
      <c r="H26" s="192"/>
      <c r="I26" s="196"/>
      <c r="L26" s="195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5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5">
        <f>IF($B26=75022,G26,0)+IF($B26=75023,G26,0)</f>
        <v>0</v>
      </c>
      <c r="O26" s="195">
        <f>IF($B26=75022,H26,0)+IF($B26=75023,H26,0)</f>
        <v>0</v>
      </c>
    </row>
    <row r="27" spans="1:15" ht="12.75">
      <c r="A27" s="190"/>
      <c r="B27" s="191"/>
      <c r="C27" s="191"/>
      <c r="D27" s="192"/>
      <c r="E27" s="192"/>
      <c r="F27" s="193">
        <v>4500</v>
      </c>
      <c r="G27" s="192">
        <v>8614</v>
      </c>
      <c r="H27" s="192"/>
      <c r="I27" s="196"/>
      <c r="L27" s="195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5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5">
        <f>IF($B27=75022,G27,0)+IF($B27=75023,G27,0)</f>
        <v>0</v>
      </c>
      <c r="O27" s="195">
        <f>IF($B27=75022,H27,0)+IF($B27=75023,H27,0)</f>
        <v>0</v>
      </c>
    </row>
    <row r="28" spans="1:15" ht="12.75">
      <c r="A28" s="190"/>
      <c r="B28" s="191"/>
      <c r="C28" s="191"/>
      <c r="D28" s="192"/>
      <c r="E28" s="192"/>
      <c r="F28" s="193">
        <v>4780</v>
      </c>
      <c r="G28" s="192"/>
      <c r="H28" s="192">
        <v>800</v>
      </c>
      <c r="I28" s="196"/>
      <c r="L28" s="195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5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5">
        <f>IF($B28=75022,G28,0)+IF($B28=75023,G28,0)</f>
        <v>0</v>
      </c>
      <c r="O28" s="195">
        <f>IF($B28=75022,H28,0)+IF($B28=75023,H28,0)</f>
        <v>0</v>
      </c>
    </row>
    <row r="29" spans="1:15" ht="12.75">
      <c r="A29" s="190"/>
      <c r="B29" s="191"/>
      <c r="C29" s="191"/>
      <c r="D29" s="192"/>
      <c r="E29" s="192"/>
      <c r="F29" s="193"/>
      <c r="G29" s="192"/>
      <c r="H29" s="192"/>
      <c r="I29" s="205"/>
      <c r="L29" s="195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5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5">
        <f>IF($B29=75022,G29,0)+IF($B29=75023,G29,0)</f>
        <v>0</v>
      </c>
      <c r="O29" s="195">
        <f>IF($B29=75022,H29,0)+IF($B29=75023,H29,0)</f>
        <v>0</v>
      </c>
    </row>
    <row r="30" spans="1:15" ht="12.75">
      <c r="A30" s="190" t="s">
        <v>273</v>
      </c>
      <c r="B30" s="191" t="s">
        <v>274</v>
      </c>
      <c r="C30" s="191"/>
      <c r="D30" s="192"/>
      <c r="E30" s="192"/>
      <c r="F30" s="193">
        <v>4040</v>
      </c>
      <c r="G30" s="192"/>
      <c r="H30" s="192">
        <v>4450</v>
      </c>
      <c r="I30" s="205"/>
      <c r="L30" s="195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5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4450</v>
      </c>
      <c r="N30" s="195">
        <f>IF($B30=75022,G30,0)+IF($B30=75023,G30,0)</f>
        <v>0</v>
      </c>
      <c r="O30" s="195">
        <f>IF($B30=75022,H30,0)+IF($B30=75023,H30,0)</f>
        <v>0</v>
      </c>
    </row>
    <row r="31" spans="1:15" ht="12.75">
      <c r="A31" s="190"/>
      <c r="B31" s="191"/>
      <c r="C31" s="191"/>
      <c r="D31" s="192"/>
      <c r="E31" s="192"/>
      <c r="F31" s="193">
        <v>4170</v>
      </c>
      <c r="G31" s="192">
        <v>3000</v>
      </c>
      <c r="H31" s="192"/>
      <c r="I31" s="196"/>
      <c r="L31" s="195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3000</v>
      </c>
      <c r="M31" s="195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5">
        <f>IF($B31=75022,G31,0)+IF($B31=75023,G31,0)</f>
        <v>0</v>
      </c>
      <c r="O31" s="195">
        <f>IF($B31=75022,H31,0)+IF($B31=75023,H31,0)</f>
        <v>0</v>
      </c>
    </row>
    <row r="32" spans="1:15" ht="12.75">
      <c r="A32" s="190"/>
      <c r="B32" s="191"/>
      <c r="C32" s="191"/>
      <c r="D32" s="192"/>
      <c r="E32" s="192"/>
      <c r="F32" s="193">
        <v>4210</v>
      </c>
      <c r="G32" s="192"/>
      <c r="H32" s="192">
        <v>22400</v>
      </c>
      <c r="I32" s="196"/>
      <c r="L32" s="195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5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5">
        <f>IF($B32=75022,G32,0)+IF($B32=75023,G32,0)</f>
        <v>0</v>
      </c>
      <c r="O32" s="195">
        <f>IF($B32=75022,H32,0)+IF($B32=75023,H32,0)</f>
        <v>0</v>
      </c>
    </row>
    <row r="33" spans="1:15" ht="12.75">
      <c r="A33" s="190"/>
      <c r="B33" s="191"/>
      <c r="C33" s="191"/>
      <c r="D33" s="192"/>
      <c r="E33" s="192"/>
      <c r="F33" s="193">
        <v>4240</v>
      </c>
      <c r="G33" s="192">
        <v>1000</v>
      </c>
      <c r="H33" s="192"/>
      <c r="I33" s="205"/>
      <c r="L33" s="195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5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5">
        <f>IF($B33=75022,G33,0)+IF($B33=75023,G33,0)</f>
        <v>0</v>
      </c>
      <c r="O33" s="195">
        <f>IF($B33=75022,H33,0)+IF($B33=75023,H33,0)</f>
        <v>0</v>
      </c>
    </row>
    <row r="34" spans="1:15" ht="12.75">
      <c r="A34" s="190"/>
      <c r="B34" s="191"/>
      <c r="C34" s="191"/>
      <c r="D34" s="192"/>
      <c r="E34" s="192"/>
      <c r="F34" s="193">
        <v>4270</v>
      </c>
      <c r="G34" s="192">
        <v>25500</v>
      </c>
      <c r="H34" s="192"/>
      <c r="I34" s="196"/>
      <c r="L34" s="195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5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5">
        <f>IF($B34=75022,G34,0)+IF($B34=75023,G34,0)</f>
        <v>0</v>
      </c>
      <c r="O34" s="195">
        <f>IF($B34=75022,H34,0)+IF($B34=75023,H34,0)</f>
        <v>0</v>
      </c>
    </row>
    <row r="35" spans="1:15" ht="12.75">
      <c r="A35" s="190"/>
      <c r="B35" s="191"/>
      <c r="C35" s="191"/>
      <c r="D35" s="192"/>
      <c r="E35" s="192"/>
      <c r="F35" s="193">
        <v>4300</v>
      </c>
      <c r="G35" s="192"/>
      <c r="H35" s="192">
        <v>5600</v>
      </c>
      <c r="I35" s="196"/>
      <c r="L35" s="195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5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5">
        <f>IF($B35=75022,G35,0)+IF($B35=75023,G35,0)</f>
        <v>0</v>
      </c>
      <c r="O35" s="195">
        <f>IF($B35=75022,H35,0)+IF($B35=75023,H35,0)</f>
        <v>0</v>
      </c>
    </row>
    <row r="36" spans="1:15" ht="12.75">
      <c r="A36" s="190"/>
      <c r="B36" s="191"/>
      <c r="C36" s="191"/>
      <c r="D36" s="192"/>
      <c r="E36" s="192"/>
      <c r="F36" s="193">
        <v>4370</v>
      </c>
      <c r="G36" s="192"/>
      <c r="H36" s="192">
        <v>500</v>
      </c>
      <c r="I36" s="196"/>
      <c r="L36" s="195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5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5">
        <f>IF($B36=75022,G36,0)+IF($B36=75023,G36,0)</f>
        <v>0</v>
      </c>
      <c r="O36" s="195">
        <f>IF($B36=75022,H36,0)+IF($B36=75023,H36,0)</f>
        <v>0</v>
      </c>
    </row>
    <row r="37" spans="1:15" ht="12.75">
      <c r="A37" s="190"/>
      <c r="B37" s="191"/>
      <c r="C37" s="191"/>
      <c r="D37" s="192"/>
      <c r="E37" s="192"/>
      <c r="F37" s="193">
        <v>4410</v>
      </c>
      <c r="G37" s="192"/>
      <c r="H37" s="192">
        <v>1000</v>
      </c>
      <c r="I37" s="196"/>
      <c r="L37" s="195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5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5">
        <f>IF($B37=75022,G37,0)+IF($B37=75023,G37,0)</f>
        <v>0</v>
      </c>
      <c r="O37" s="195">
        <f>IF($B37=75022,H37,0)+IF($B37=75023,H37,0)</f>
        <v>0</v>
      </c>
    </row>
    <row r="38" spans="1:15" ht="12.75">
      <c r="A38" s="190"/>
      <c r="B38" s="191" t="s">
        <v>275</v>
      </c>
      <c r="C38" s="191"/>
      <c r="D38" s="192"/>
      <c r="E38" s="192"/>
      <c r="F38" s="193">
        <v>4040</v>
      </c>
      <c r="G38" s="192">
        <v>4450</v>
      </c>
      <c r="H38" s="192"/>
      <c r="I38" s="196"/>
      <c r="L38" s="195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4450</v>
      </c>
      <c r="M38" s="195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5">
        <f>IF($B38=75022,G38,0)+IF($B38=75023,G38,0)</f>
        <v>0</v>
      </c>
      <c r="O38" s="195">
        <f>IF($B38=75022,H38,0)+IF($B38=75023,H38,0)</f>
        <v>0</v>
      </c>
    </row>
    <row r="39" spans="1:15" ht="12.75">
      <c r="A39" s="190" t="s">
        <v>276</v>
      </c>
      <c r="B39" s="191" t="s">
        <v>274</v>
      </c>
      <c r="C39" s="191"/>
      <c r="D39" s="192"/>
      <c r="E39" s="192"/>
      <c r="F39" s="193">
        <v>4210</v>
      </c>
      <c r="G39" s="192"/>
      <c r="H39" s="192">
        <v>15500</v>
      </c>
      <c r="I39" s="196"/>
      <c r="L39" s="195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5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5">
        <f>IF($B39=75022,G39,0)+IF($B39=75023,G39,0)</f>
        <v>0</v>
      </c>
      <c r="O39" s="195">
        <f>IF($B39=75022,H39,0)+IF($B39=75023,H39,0)</f>
        <v>0</v>
      </c>
    </row>
    <row r="40" spans="1:15" ht="12.75">
      <c r="A40" s="190"/>
      <c r="B40" s="191"/>
      <c r="C40" s="191"/>
      <c r="D40" s="192"/>
      <c r="E40" s="192"/>
      <c r="F40" s="193">
        <v>4280</v>
      </c>
      <c r="G40" s="192">
        <v>1000</v>
      </c>
      <c r="H40" s="192"/>
      <c r="I40" s="196"/>
      <c r="L40" s="195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5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5">
        <f>IF($B40=75022,G40,0)+IF($B40=75023,G40,0)</f>
        <v>0</v>
      </c>
      <c r="O40" s="195">
        <f>IF($B40=75022,H40,0)+IF($B40=75023,H40,0)</f>
        <v>0</v>
      </c>
    </row>
    <row r="41" spans="1:15" ht="12.75">
      <c r="A41" s="190"/>
      <c r="B41" s="191"/>
      <c r="C41" s="191"/>
      <c r="D41" s="192"/>
      <c r="E41" s="192"/>
      <c r="F41" s="193">
        <v>4300</v>
      </c>
      <c r="G41" s="192">
        <v>10000</v>
      </c>
      <c r="H41" s="192"/>
      <c r="I41" s="196"/>
      <c r="L41" s="195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95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95">
        <f>IF($B41=75022,G41,0)+IF($B41=75023,G41,0)</f>
        <v>0</v>
      </c>
      <c r="O41" s="195">
        <f>IF($B41=75022,H41,0)+IF($B41=75023,H41,0)</f>
        <v>0</v>
      </c>
    </row>
    <row r="42" spans="1:15" ht="12.75">
      <c r="A42" s="190"/>
      <c r="B42" s="191" t="s">
        <v>275</v>
      </c>
      <c r="C42" s="191"/>
      <c r="D42" s="192"/>
      <c r="E42" s="192"/>
      <c r="F42" s="193">
        <v>4210</v>
      </c>
      <c r="G42" s="192"/>
      <c r="H42" s="192">
        <v>1000</v>
      </c>
      <c r="I42" s="196"/>
      <c r="L42" s="195">
        <f>IF($F42=4170,G42,0)+IF($F42=4177,G42,0)+IF($F42=4179,G42,0)+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95">
        <f>IF($F42=4170,H42,0)+IF($F42=4177,H42,0)+IF($F42=4179,H42,0)+IF($F42=4010,H42,0)+IF($F42=4110,H42,0)+IF($F42=4120,H42,0)+IF($F42=4017,H42,0)+IF($F42=4117,H42,0)+IF($F42=4127,H42,0)+IF($F42=4019,H42,0)+IF($F42=4119,H42,0)+IF($F42=4129,H42,0)+IF($F42=4040,H42,0)+IF($F42=4047,H42,0)+IF($F42=4049,H42,0)</f>
        <v>0</v>
      </c>
      <c r="N42" s="195">
        <f>IF($B42=75022,G42,0)+IF($B42=75023,G42,0)</f>
        <v>0</v>
      </c>
      <c r="O42" s="195">
        <f>IF($B42=75022,H42,0)+IF($B42=75023,H42,0)</f>
        <v>0</v>
      </c>
    </row>
    <row r="43" spans="1:15" ht="12.75">
      <c r="A43" s="190"/>
      <c r="B43" s="191"/>
      <c r="C43" s="191"/>
      <c r="D43" s="192"/>
      <c r="E43" s="192"/>
      <c r="F43" s="193">
        <v>4240</v>
      </c>
      <c r="G43" s="192">
        <v>1000</v>
      </c>
      <c r="H43" s="192"/>
      <c r="I43" s="196"/>
      <c r="L43" s="195">
        <f>IF($F43=4170,G43,0)+IF($F43=4177,G43,0)+IF($F43=4179,G43,0)+IF($F43=4010,G43,0)+IF($F43=4110,G43,0)+IF($F43=4120,G43,0)+IF($F43=4017,G43,0)+IF($F43=4117,G43,0)+IF($F43=4127,G43,0)+IF($F43=4019,G43,0)+IF($F43=4119,G43,0)+IF($F43=4129,G43,0)+IF($F43=4040,G43,0)+IF($F43=4047,G43,0)+IF($F43=4049,G43,0)</f>
        <v>0</v>
      </c>
      <c r="M43" s="195">
        <f>IF($F43=4170,H43,0)+IF($F43=4177,H43,0)+IF($F43=4179,H43,0)+IF($F43=4010,H43,0)+IF($F43=4110,H43,0)+IF($F43=4120,H43,0)+IF($F43=4017,H43,0)+IF($F43=4117,H43,0)+IF($F43=4127,H43,0)+IF($F43=4019,H43,0)+IF($F43=4119,H43,0)+IF($F43=4129,H43,0)+IF($F43=4040,H43,0)+IF($F43=4047,H43,0)+IF($F43=4049,H43,0)</f>
        <v>0</v>
      </c>
      <c r="N43" s="195">
        <f>IF($B43=75022,G43,0)+IF($B43=75023,G43,0)</f>
        <v>0</v>
      </c>
      <c r="O43" s="195">
        <f>IF($B43=75022,H43,0)+IF($B43=75023,H43,0)</f>
        <v>0</v>
      </c>
    </row>
    <row r="44" spans="1:15" ht="12.75">
      <c r="A44" s="190"/>
      <c r="B44" s="191"/>
      <c r="C44" s="191"/>
      <c r="D44" s="192"/>
      <c r="E44" s="192"/>
      <c r="F44" s="193">
        <v>4010</v>
      </c>
      <c r="G44" s="192">
        <v>1900</v>
      </c>
      <c r="H44" s="192"/>
      <c r="I44" s="205"/>
      <c r="L44" s="195">
        <f>IF($F44=4170,G44,0)+IF($F44=4177,G44,0)+IF($F44=4179,G44,0)+IF($F44=4010,G44,0)+IF($F44=4110,G44,0)+IF($F44=4120,G44,0)+IF($F44=4017,G44,0)+IF($F44=4117,G44,0)+IF($F44=4127,G44,0)+IF($F44=4019,G44,0)+IF($F44=4119,G44,0)+IF($F44=4129,G44,0)+IF($F44=4040,G44,0)+IF($F44=4047,G44,0)+IF($F44=4049,G44,0)</f>
        <v>1900</v>
      </c>
      <c r="M44" s="195">
        <f>IF($F44=4170,H44,0)+IF($F44=4177,H44,0)+IF($F44=4179,H44,0)+IF($F44=4010,H44,0)+IF($F44=4110,H44,0)+IF($F44=4120,H44,0)+IF($F44=4017,H44,0)+IF($F44=4117,H44,0)+IF($F44=4127,H44,0)+IF($F44=4019,H44,0)+IF($F44=4119,H44,0)+IF($F44=4129,H44,0)+IF($F44=4040,H44,0)+IF($F44=4047,H44,0)+IF($F44=4049,H44,0)</f>
        <v>0</v>
      </c>
      <c r="N44" s="195">
        <f>IF($B44=75022,G44,0)+IF($B44=75023,G44,0)</f>
        <v>0</v>
      </c>
      <c r="O44" s="195">
        <f>IF($B44=75022,H44,0)+IF($B44=75023,H44,0)</f>
        <v>0</v>
      </c>
    </row>
    <row r="45" spans="1:15" ht="12.75">
      <c r="A45" s="190"/>
      <c r="B45" s="191"/>
      <c r="C45" s="191"/>
      <c r="D45" s="192"/>
      <c r="E45" s="192"/>
      <c r="F45" s="193">
        <v>4040</v>
      </c>
      <c r="G45" s="192"/>
      <c r="H45" s="192">
        <v>1900</v>
      </c>
      <c r="I45" s="196"/>
      <c r="L45" s="195">
        <f>IF($F45=4170,G45,0)+IF($F45=4177,G45,0)+IF($F45=4179,G45,0)+IF($F45=4010,G45,0)+IF($F45=4110,G45,0)+IF($F45=4120,G45,0)+IF($F45=4017,G45,0)+IF($F45=4117,G45,0)+IF($F45=4127,G45,0)+IF($F45=4019,G45,0)+IF($F45=4119,G45,0)+IF($F45=4129,G45,0)+IF($F45=4040,G45,0)+IF($F45=4047,G45,0)+IF($F45=4049,G45,0)</f>
        <v>0</v>
      </c>
      <c r="M45" s="195">
        <f>IF($F45=4170,H45,0)+IF($F45=4177,H45,0)+IF($F45=4179,H45,0)+IF($F45=4010,H45,0)+IF($F45=4110,H45,0)+IF($F45=4120,H45,0)+IF($F45=4017,H45,0)+IF($F45=4117,H45,0)+IF($F45=4127,H45,0)+IF($F45=4019,H45,0)+IF($F45=4119,H45,0)+IF($F45=4129,H45,0)+IF($F45=4040,H45,0)+IF($F45=4047,H45,0)+IF($F45=4049,H45,0)</f>
        <v>1900</v>
      </c>
      <c r="N45" s="195">
        <f>IF($B45=75022,G45,0)+IF($B45=75023,G45,0)</f>
        <v>0</v>
      </c>
      <c r="O45" s="195">
        <f>IF($B45=75022,H45,0)+IF($B45=75023,H45,0)</f>
        <v>0</v>
      </c>
    </row>
    <row r="46" spans="1:15" ht="12.75">
      <c r="A46" s="190"/>
      <c r="B46" s="191" t="s">
        <v>277</v>
      </c>
      <c r="C46" s="191"/>
      <c r="D46" s="192"/>
      <c r="E46" s="192"/>
      <c r="F46" s="193">
        <v>4410</v>
      </c>
      <c r="G46" s="192">
        <v>1000</v>
      </c>
      <c r="H46" s="192"/>
      <c r="I46" s="196"/>
      <c r="L46" s="195">
        <f>IF($F46=4170,G46,0)+IF($F46=4177,G46,0)+IF($F46=4179,G46,0)+IF($F46=4010,G46,0)+IF($F46=4110,G46,0)+IF($F46=4120,G46,0)+IF($F46=4017,G46,0)+IF($F46=4117,G46,0)+IF($F46=4127,G46,0)+IF($F46=4019,G46,0)+IF($F46=4119,G46,0)+IF($F46=4129,G46,0)+IF($F46=4040,G46,0)+IF($F46=4047,G46,0)+IF($F46=4049,G46,0)</f>
        <v>0</v>
      </c>
      <c r="M46" s="195">
        <f>IF($F46=4170,H46,0)+IF($F46=4177,H46,0)+IF($F46=4179,H46,0)+IF($F46=4010,H46,0)+IF($F46=4110,H46,0)+IF($F46=4120,H46,0)+IF($F46=4017,H46,0)+IF($F46=4117,H46,0)+IF($F46=4127,H46,0)+IF($F46=4019,H46,0)+IF($F46=4119,H46,0)+IF($F46=4129,H46,0)+IF($F46=4040,H46,0)+IF($F46=4047,H46,0)+IF($F46=4049,H46,0)</f>
        <v>0</v>
      </c>
      <c r="N46" s="195">
        <f>IF($B46=75022,G46,0)+IF($B46=75023,G46,0)</f>
        <v>0</v>
      </c>
      <c r="O46" s="195">
        <f>IF($B46=75022,H46,0)+IF($B46=75023,H46,0)</f>
        <v>0</v>
      </c>
    </row>
    <row r="47" spans="1:15" ht="12.75">
      <c r="A47" s="190"/>
      <c r="B47" s="191"/>
      <c r="C47" s="191"/>
      <c r="D47" s="192"/>
      <c r="E47" s="192"/>
      <c r="F47" s="193">
        <v>4700</v>
      </c>
      <c r="G47" s="192">
        <v>3500</v>
      </c>
      <c r="H47" s="192"/>
      <c r="I47" s="196"/>
      <c r="L47" s="195">
        <f>IF($F47=4170,G47,0)+IF($F47=4177,G47,0)+IF($F47=4179,G47,0)+IF($F47=4010,G47,0)+IF($F47=4110,G47,0)+IF($F47=4120,G47,0)+IF($F47=4017,G47,0)+IF($F47=4117,G47,0)+IF($F47=4127,G47,0)+IF($F47=4019,G47,0)+IF($F47=4119,G47,0)+IF($F47=4129,G47,0)+IF($F47=4040,G47,0)+IF($F47=4047,G47,0)+IF($F47=4049,G47,0)</f>
        <v>0</v>
      </c>
      <c r="M47" s="195">
        <f>IF($F47=4170,H47,0)+IF($F47=4177,H47,0)+IF($F47=4179,H47,0)+IF($F47=4010,H47,0)+IF($F47=4110,H47,0)+IF($F47=4120,H47,0)+IF($F47=4017,H47,0)+IF($F47=4117,H47,0)+IF($F47=4127,H47,0)+IF($F47=4019,H47,0)+IF($F47=4119,H47,0)+IF($F47=4129,H47,0)+IF($F47=4040,H47,0)+IF($F47=4047,H47,0)+IF($F47=4049,H47,0)</f>
        <v>0</v>
      </c>
      <c r="N47" s="195">
        <f>IF($B47=75022,G47,0)+IF($B47=75023,G47,0)</f>
        <v>0</v>
      </c>
      <c r="O47" s="195">
        <f>IF($B47=75022,H47,0)+IF($B47=75023,H47,0)</f>
        <v>0</v>
      </c>
    </row>
    <row r="48" spans="1:15" ht="12.75">
      <c r="A48" s="190"/>
      <c r="B48" s="191" t="s">
        <v>278</v>
      </c>
      <c r="C48" s="191"/>
      <c r="D48" s="192"/>
      <c r="E48" s="192"/>
      <c r="F48" s="193">
        <v>4010</v>
      </c>
      <c r="G48" s="192"/>
      <c r="H48" s="192">
        <v>800</v>
      </c>
      <c r="I48" s="205"/>
      <c r="L48" s="195">
        <f>IF($F48=4170,G48,0)+IF($F48=4177,G48,0)+IF($F48=4179,G48,0)+IF($F48=4010,G48,0)+IF($F48=4110,G48,0)+IF($F48=4120,G48,0)+IF($F48=4017,G48,0)+IF($F48=4117,G48,0)+IF($F48=4127,G48,0)+IF($F48=4019,G48,0)+IF($F48=4119,G48,0)+IF($F48=4129,G48,0)+IF($F48=4040,G48,0)+IF($F48=4047,G48,0)+IF($F48=4049,G48,0)</f>
        <v>0</v>
      </c>
      <c r="M48" s="195">
        <f>IF($F48=4170,H48,0)+IF($F48=4177,H48,0)+IF($F48=4179,H48,0)+IF($F48=4010,H48,0)+IF($F48=4110,H48,0)+IF($F48=4120,H48,0)+IF($F48=4017,H48,0)+IF($F48=4117,H48,0)+IF($F48=4127,H48,0)+IF($F48=4019,H48,0)+IF($F48=4119,H48,0)+IF($F48=4129,H48,0)+IF($F48=4040,H48,0)+IF($F48=4047,H48,0)+IF($F48=4049,H48,0)</f>
        <v>800</v>
      </c>
      <c r="N48" s="195">
        <f>IF($B48=75022,G48,0)+IF($B48=75023,G48,0)</f>
        <v>0</v>
      </c>
      <c r="O48" s="195">
        <f>IF($B48=75022,H48,0)+IF($B48=75023,H48,0)</f>
        <v>0</v>
      </c>
    </row>
    <row r="49" spans="1:15" ht="12.75">
      <c r="A49" s="190"/>
      <c r="B49" s="191"/>
      <c r="C49" s="191"/>
      <c r="D49" s="192"/>
      <c r="E49" s="192"/>
      <c r="F49" s="193">
        <v>4040</v>
      </c>
      <c r="G49" s="192">
        <v>800</v>
      </c>
      <c r="H49" s="192"/>
      <c r="I49" s="196"/>
      <c r="L49" s="195">
        <f>IF($F49=4170,G49,0)+IF($F49=4177,G49,0)+IF($F49=4179,G49,0)+IF($F49=4010,G49,0)+IF($F49=4110,G49,0)+IF($F49=4120,G49,0)+IF($F49=4017,G49,0)+IF($F49=4117,G49,0)+IF($F49=4127,G49,0)+IF($F49=4019,G49,0)+IF($F49=4119,G49,0)+IF($F49=4129,G49,0)+IF($F49=4040,G49,0)+IF($F49=4047,G49,0)+IF($F49=4049,G49,0)</f>
        <v>800</v>
      </c>
      <c r="M49" s="195">
        <f>IF($F49=4170,H49,0)+IF($F49=4177,H49,0)+IF($F49=4179,H49,0)+IF($F49=4010,H49,0)+IF($F49=4110,H49,0)+IF($F49=4120,H49,0)+IF($F49=4017,H49,0)+IF($F49=4117,H49,0)+IF($F49=4127,H49,0)+IF($F49=4019,H49,0)+IF($F49=4119,H49,0)+IF($F49=4129,H49,0)+IF($F49=4040,H49,0)+IF($F49=4047,H49,0)+IF($F49=4049,H49,0)</f>
        <v>0</v>
      </c>
      <c r="N49" s="195">
        <f>IF($B49=75022,G49,0)+IF($B49=75023,G49,0)</f>
        <v>0</v>
      </c>
      <c r="O49" s="195">
        <f>IF($B49=75022,H49,0)+IF($B49=75023,H49,0)</f>
        <v>0</v>
      </c>
    </row>
    <row r="50" spans="1:15" ht="12.75">
      <c r="A50" s="190"/>
      <c r="B50" s="191"/>
      <c r="C50" s="191"/>
      <c r="D50" s="192"/>
      <c r="E50" s="192"/>
      <c r="F50" s="193">
        <v>4210</v>
      </c>
      <c r="G50" s="192"/>
      <c r="H50" s="192">
        <v>1000</v>
      </c>
      <c r="I50" s="196"/>
      <c r="L50" s="195">
        <f>IF($F50=4170,G50,0)+IF($F50=4177,G50,0)+IF($F50=4179,G50,0)+IF($F50=4010,G50,0)+IF($F50=4110,G50,0)+IF($F50=4120,G50,0)+IF($F50=4017,G50,0)+IF($F50=4117,G50,0)+IF($F50=4127,G50,0)+IF($F50=4019,G50,0)+IF($F50=4119,G50,0)+IF($F50=4129,G50,0)+IF($F50=4040,G50,0)+IF($F50=4047,G50,0)+IF($F50=4049,G50,0)</f>
        <v>0</v>
      </c>
      <c r="M50" s="195">
        <f>IF($F50=4170,H50,0)+IF($F50=4177,H50,0)+IF($F50=4179,H50,0)+IF($F50=4010,H50,0)+IF($F50=4110,H50,0)+IF($F50=4120,H50,0)+IF($F50=4017,H50,0)+IF($F50=4117,H50,0)+IF($F50=4127,H50,0)+IF($F50=4019,H50,0)+IF($F50=4119,H50,0)+IF($F50=4129,H50,0)+IF($F50=4040,H50,0)+IF($F50=4047,H50,0)+IF($F50=4049,H50,0)</f>
        <v>0</v>
      </c>
      <c r="N50" s="195">
        <f>IF($B50=75022,G50,0)+IF($B50=75023,G50,0)</f>
        <v>0</v>
      </c>
      <c r="O50" s="195">
        <f>IF($B50=75022,H50,0)+IF($B50=75023,H50,0)</f>
        <v>0</v>
      </c>
    </row>
    <row r="51" spans="1:15" ht="12.75">
      <c r="A51" s="190"/>
      <c r="B51" s="191"/>
      <c r="C51" s="191"/>
      <c r="D51" s="192"/>
      <c r="E51" s="192"/>
      <c r="F51" s="193">
        <v>4240</v>
      </c>
      <c r="G51" s="192">
        <v>1000</v>
      </c>
      <c r="H51" s="192"/>
      <c r="I51" s="205"/>
      <c r="L51" s="195">
        <f>IF($F51=4170,G51,0)+IF($F51=4177,G51,0)+IF($F51=4179,G51,0)+IF($F51=4010,G51,0)+IF($F51=4110,G51,0)+IF($F51=4120,G51,0)+IF($F51=4017,G51,0)+IF($F51=4117,G51,0)+IF($F51=4127,G51,0)+IF($F51=4019,G51,0)+IF($F51=4119,G51,0)+IF($F51=4129,G51,0)+IF($F51=4040,G51,0)+IF($F51=4047,G51,0)+IF($F51=4049,G51,0)</f>
        <v>0</v>
      </c>
      <c r="M51" s="195">
        <f>IF($F51=4170,H51,0)+IF($F51=4177,H51,0)+IF($F51=4179,H51,0)+IF($F51=4010,H51,0)+IF($F51=4110,H51,0)+IF($F51=4120,H51,0)+IF($F51=4017,H51,0)+IF($F51=4117,H51,0)+IF($F51=4127,H51,0)+IF($F51=4019,H51,0)+IF($F51=4119,H51,0)+IF($F51=4129,H51,0)+IF($F51=4040,H51,0)+IF($F51=4047,H51,0)+IF($F51=4049,H51,0)</f>
        <v>0</v>
      </c>
      <c r="N51" s="195">
        <f>IF($B51=75022,G51,0)+IF($B51=75023,G51,0)</f>
        <v>0</v>
      </c>
      <c r="O51" s="195">
        <f>IF($B51=75022,H51,0)+IF($B51=75023,H51,0)</f>
        <v>0</v>
      </c>
    </row>
    <row r="52" spans="1:15" ht="12.75">
      <c r="A52" s="190"/>
      <c r="B52" s="191"/>
      <c r="C52" s="191"/>
      <c r="D52" s="192"/>
      <c r="E52" s="192"/>
      <c r="F52" s="193"/>
      <c r="G52" s="192"/>
      <c r="H52" s="192"/>
      <c r="I52" s="205"/>
      <c r="L52" s="195">
        <f>IF($F52=4170,G52,0)+IF($F52=4177,G52,0)+IF($F52=4179,G52,0)+IF($F52=4010,G52,0)+IF($F52=4110,G52,0)+IF($F52=4120,G52,0)+IF($F52=4017,G52,0)+IF($F52=4117,G52,0)+IF($F52=4127,G52,0)+IF($F52=4019,G52,0)+IF($F52=4119,G52,0)+IF($F52=4129,G52,0)+IF($F52=4040,G52,0)+IF($F52=4047,G52,0)+IF($F52=4049,G52,0)</f>
        <v>0</v>
      </c>
      <c r="M52" s="195">
        <f>IF($F52=4170,H52,0)+IF($F52=4177,H52,0)+IF($F52=4179,H52,0)+IF($F52=4010,H52,0)+IF($F52=4110,H52,0)+IF($F52=4120,H52,0)+IF($F52=4017,H52,0)+IF($F52=4117,H52,0)+IF($F52=4127,H52,0)+IF($F52=4019,H52,0)+IF($F52=4119,H52,0)+IF($F52=4129,H52,0)+IF($F52=4040,H52,0)+IF($F52=4047,H52,0)+IF($F52=4049,H52,0)</f>
        <v>0</v>
      </c>
      <c r="N52" s="195">
        <f>IF($B52=75022,G52,0)+IF($B52=75023,G52,0)</f>
        <v>0</v>
      </c>
      <c r="O52" s="195">
        <f>IF($B52=75022,H52,0)+IF($B52=75023,H52,0)</f>
        <v>0</v>
      </c>
    </row>
    <row r="53" spans="1:15" ht="12.75">
      <c r="A53" s="190" t="s">
        <v>279</v>
      </c>
      <c r="B53" s="191" t="s">
        <v>267</v>
      </c>
      <c r="C53" s="191" t="s">
        <v>280</v>
      </c>
      <c r="D53" s="192">
        <v>2667</v>
      </c>
      <c r="E53" s="192"/>
      <c r="F53" s="193">
        <v>3110</v>
      </c>
      <c r="G53" s="192">
        <v>2589</v>
      </c>
      <c r="H53" s="192"/>
      <c r="I53" s="205"/>
      <c r="L53" s="195">
        <f>IF($F53=4170,G53,0)+IF($F53=4177,G53,0)+IF($F53=4179,G53,0)+IF($F53=4010,G53,0)+IF($F53=4110,G53,0)+IF($F53=4120,G53,0)+IF($F53=4017,G53,0)+IF($F53=4117,G53,0)+IF($F53=4127,G53,0)+IF($F53=4019,G53,0)+IF($F53=4119,G53,0)+IF($F53=4129,G53,0)+IF($F53=4040,G53,0)+IF($F53=4047,G53,0)+IF($F53=4049,G53,0)</f>
        <v>0</v>
      </c>
      <c r="M53" s="195">
        <f>IF($F53=4170,H53,0)+IF($F53=4177,H53,0)+IF($F53=4179,H53,0)+IF($F53=4010,H53,0)+IF($F53=4110,H53,0)+IF($F53=4120,H53,0)+IF($F53=4017,H53,0)+IF($F53=4117,H53,0)+IF($F53=4127,H53,0)+IF($F53=4019,H53,0)+IF($F53=4119,H53,0)+IF($F53=4129,H53,0)+IF($F53=4040,H53,0)+IF($F53=4047,H53,0)+IF($F53=4049,H53,0)</f>
        <v>0</v>
      </c>
      <c r="N53" s="195">
        <f>IF($B53=75022,G53,0)+IF($B53=75023,G53,0)</f>
        <v>0</v>
      </c>
      <c r="O53" s="195">
        <f>IF($B53=75022,H53,0)+IF($B53=75023,H53,0)</f>
        <v>0</v>
      </c>
    </row>
    <row r="54" spans="1:15" ht="12.75">
      <c r="A54" s="190"/>
      <c r="B54" s="191"/>
      <c r="C54" s="191"/>
      <c r="D54" s="192"/>
      <c r="E54" s="192"/>
      <c r="F54" s="193">
        <v>4280</v>
      </c>
      <c r="G54" s="192">
        <v>78</v>
      </c>
      <c r="H54" s="192"/>
      <c r="I54" s="205"/>
      <c r="L54" s="195">
        <f>IF($F54=4170,G54,0)+IF($F54=4177,G54,0)+IF($F54=4179,G54,0)+IF($F54=4010,G54,0)+IF($F54=4110,G54,0)+IF($F54=4120,G54,0)+IF($F54=4017,G54,0)+IF($F54=4117,G54,0)+IF($F54=4127,G54,0)+IF($F54=4019,G54,0)+IF($F54=4119,G54,0)+IF($F54=4129,G54,0)+IF($F54=4040,G54,0)+IF($F54=4047,G54,0)+IF($F54=4049,G54,0)</f>
        <v>0</v>
      </c>
      <c r="M54" s="195">
        <f>IF($F54=4170,H54,0)+IF($F54=4177,H54,0)+IF($F54=4179,H54,0)+IF($F54=4010,H54,0)+IF($F54=4110,H54,0)+IF($F54=4120,H54,0)+IF($F54=4017,H54,0)+IF($F54=4117,H54,0)+IF($F54=4127,H54,0)+IF($F54=4019,H54,0)+IF($F54=4119,H54,0)+IF($F54=4129,H54,0)+IF($F54=4040,H54,0)+IF($F54=4047,H54,0)+IF($F54=4049,H54,0)</f>
        <v>0</v>
      </c>
      <c r="N54" s="195">
        <f>IF($B54=75022,G54,0)+IF($B54=75023,G54,0)</f>
        <v>0</v>
      </c>
      <c r="O54" s="195">
        <f>IF($B54=75022,H54,0)+IF($B54=75023,H54,0)</f>
        <v>0</v>
      </c>
    </row>
    <row r="55" spans="1:15" ht="12.75">
      <c r="A55" s="190"/>
      <c r="B55" s="191" t="s">
        <v>281</v>
      </c>
      <c r="C55" s="191" t="s">
        <v>280</v>
      </c>
      <c r="D55" s="192"/>
      <c r="E55" s="192">
        <v>2667</v>
      </c>
      <c r="F55" s="193">
        <v>4130</v>
      </c>
      <c r="G55" s="192"/>
      <c r="H55" s="192">
        <v>2667</v>
      </c>
      <c r="I55" s="205"/>
      <c r="L55" s="195">
        <f>IF($F55=4170,G55,0)+IF($F55=4177,G55,0)+IF($F55=4179,G55,0)+IF($F55=4010,G55,0)+IF($F55=4110,G55,0)+IF($F55=4120,G55,0)+IF($F55=4017,G55,0)+IF($F55=4117,G55,0)+IF($F55=4127,G55,0)+IF($F55=4019,G55,0)+IF($F55=4119,G55,0)+IF($F55=4129,G55,0)+IF($F55=4040,G55,0)+IF($F55=4047,G55,0)+IF($F55=4049,G55,0)</f>
        <v>0</v>
      </c>
      <c r="M55" s="195">
        <f>IF($F55=4170,H55,0)+IF($F55=4177,H55,0)+IF($F55=4179,H55,0)+IF($F55=4010,H55,0)+IF($F55=4110,H55,0)+IF($F55=4120,H55,0)+IF($F55=4017,H55,0)+IF($F55=4117,H55,0)+IF($F55=4127,H55,0)+IF($F55=4019,H55,0)+IF($F55=4119,H55,0)+IF($F55=4129,H55,0)+IF($F55=4040,H55,0)+IF($F55=4047,H55,0)+IF($F55=4049,H55,0)</f>
        <v>0</v>
      </c>
      <c r="N55" s="195">
        <f>IF($B55=75022,G55,0)+IF($B55=75023,G55,0)</f>
        <v>0</v>
      </c>
      <c r="O55" s="195">
        <f>IF($B55=75022,H55,0)+IF($B55=75023,H55,0)</f>
        <v>0</v>
      </c>
    </row>
    <row r="56" spans="1:15" ht="12.75">
      <c r="A56" s="190"/>
      <c r="B56" s="191" t="s">
        <v>282</v>
      </c>
      <c r="C56" s="191" t="s">
        <v>280</v>
      </c>
      <c r="D56" s="192"/>
      <c r="E56" s="192">
        <v>761</v>
      </c>
      <c r="F56" s="193">
        <v>4010</v>
      </c>
      <c r="G56" s="192"/>
      <c r="H56" s="192">
        <v>635</v>
      </c>
      <c r="I56" s="205"/>
      <c r="L56" s="195">
        <f>IF($F56=4170,G56,0)+IF($F56=4177,G56,0)+IF($F56=4179,G56,0)+IF($F56=4010,G56,0)+IF($F56=4110,G56,0)+IF($F56=4120,G56,0)+IF($F56=4017,G56,0)+IF($F56=4117,G56,0)+IF($F56=4127,G56,0)+IF($F56=4019,G56,0)+IF($F56=4119,G56,0)+IF($F56=4129,G56,0)+IF($F56=4040,G56,0)+IF($F56=4047,G56,0)+IF($F56=4049,G56,0)</f>
        <v>0</v>
      </c>
      <c r="M56" s="195">
        <f>IF($F56=4170,H56,0)+IF($F56=4177,H56,0)+IF($F56=4179,H56,0)+IF($F56=4010,H56,0)+IF($F56=4110,H56,0)+IF($F56=4120,H56,0)+IF($F56=4017,H56,0)+IF($F56=4117,H56,0)+IF($F56=4127,H56,0)+IF($F56=4019,H56,0)+IF($F56=4119,H56,0)+IF($F56=4129,H56,0)+IF($F56=4040,H56,0)+IF($F56=4047,H56,0)+IF($F56=4049,H56,0)</f>
        <v>635</v>
      </c>
      <c r="N56" s="195">
        <f>IF($B56=75022,G56,0)+IF($B56=75023,G56,0)</f>
        <v>0</v>
      </c>
      <c r="O56" s="195">
        <f>IF($B56=75022,H56,0)+IF($B56=75023,H56,0)</f>
        <v>0</v>
      </c>
    </row>
    <row r="57" spans="1:15" ht="12.75">
      <c r="A57" s="190"/>
      <c r="B57" s="191"/>
      <c r="C57" s="191"/>
      <c r="D57" s="192"/>
      <c r="E57" s="192"/>
      <c r="F57" s="193">
        <v>4110</v>
      </c>
      <c r="G57" s="192"/>
      <c r="H57" s="192">
        <v>111</v>
      </c>
      <c r="I57" s="205"/>
      <c r="L57" s="195">
        <f>IF($F57=4170,G57,0)+IF($F57=4177,G57,0)+IF($F57=4179,G57,0)+IF($F57=4010,G57,0)+IF($F57=4110,G57,0)+IF($F57=4120,G57,0)+IF($F57=4017,G57,0)+IF($F57=4117,G57,0)+IF($F57=4127,G57,0)+IF($F57=4019,G57,0)+IF($F57=4119,G57,0)+IF($F57=4129,G57,0)+IF($F57=4040,G57,0)+IF($F57=4047,G57,0)+IF($F57=4049,G57,0)</f>
        <v>0</v>
      </c>
      <c r="M57" s="195">
        <f>IF($F57=4170,H57,0)+IF($F57=4177,H57,0)+IF($F57=4179,H57,0)+IF($F57=4010,H57,0)+IF($F57=4110,H57,0)+IF($F57=4120,H57,0)+IF($F57=4017,H57,0)+IF($F57=4117,H57,0)+IF($F57=4127,H57,0)+IF($F57=4019,H57,0)+IF($F57=4119,H57,0)+IF($F57=4129,H57,0)+IF($F57=4040,H57,0)+IF($F57=4047,H57,0)+IF($F57=4049,H57,0)</f>
        <v>111</v>
      </c>
      <c r="N57" s="195">
        <f>IF($B57=75022,G57,0)+IF($B57=75023,G57,0)</f>
        <v>0</v>
      </c>
      <c r="O57" s="195">
        <f>IF($B57=75022,H57,0)+IF($B57=75023,H57,0)</f>
        <v>0</v>
      </c>
    </row>
    <row r="58" spans="1:15" ht="12.75">
      <c r="A58" s="190"/>
      <c r="B58" s="191"/>
      <c r="C58" s="191"/>
      <c r="D58" s="192"/>
      <c r="E58" s="192"/>
      <c r="F58" s="193">
        <v>4120</v>
      </c>
      <c r="G58" s="192"/>
      <c r="H58" s="192">
        <v>15</v>
      </c>
      <c r="I58" s="205"/>
      <c r="L58" s="195">
        <f>IF($F58=4170,G58,0)+IF($F58=4177,G58,0)+IF($F58=4179,G58,0)+IF($F58=4010,G58,0)+IF($F58=4110,G58,0)+IF($F58=4120,G58,0)+IF($F58=4017,G58,0)+IF($F58=4117,G58,0)+IF($F58=4127,G58,0)+IF($F58=4019,G58,0)+IF($F58=4119,G58,0)+IF($F58=4129,G58,0)+IF($F58=4040,G58,0)+IF($F58=4047,G58,0)+IF($F58=4049,G58,0)</f>
        <v>0</v>
      </c>
      <c r="M58" s="195">
        <f>IF($F58=4170,H58,0)+IF($F58=4177,H58,0)+IF($F58=4179,H58,0)+IF($F58=4010,H58,0)+IF($F58=4110,H58,0)+IF($F58=4120,H58,0)+IF($F58=4017,H58,0)+IF($F58=4117,H58,0)+IF($F58=4127,H58,0)+IF($F58=4019,H58,0)+IF($F58=4119,H58,0)+IF($F58=4129,H58,0)+IF($F58=4040,H58,0)+IF($F58=4047,H58,0)+IF($F58=4049,H58,0)</f>
        <v>15</v>
      </c>
      <c r="N58" s="195">
        <f>IF($B58=75022,G58,0)+IF($B58=75023,G58,0)</f>
        <v>0</v>
      </c>
      <c r="O58" s="195">
        <f>IF($B58=75022,H58,0)+IF($B58=75023,H58,0)</f>
        <v>0</v>
      </c>
    </row>
    <row r="59" spans="1:15" ht="12.75">
      <c r="A59" s="190"/>
      <c r="B59" s="191"/>
      <c r="C59" s="191"/>
      <c r="D59" s="192"/>
      <c r="E59" s="192"/>
      <c r="F59" s="193">
        <v>4210</v>
      </c>
      <c r="G59" s="192"/>
      <c r="H59" s="192">
        <v>742</v>
      </c>
      <c r="I59" s="205"/>
      <c r="L59" s="195">
        <f>IF($F59=4170,G59,0)+IF($F59=4177,G59,0)+IF($F59=4179,G59,0)+IF($F59=4010,G59,0)+IF($F59=4110,G59,0)+IF($F59=4120,G59,0)+IF($F59=4017,G59,0)+IF($F59=4117,G59,0)+IF($F59=4127,G59,0)+IF($F59=4019,G59,0)+IF($F59=4119,G59,0)+IF($F59=4129,G59,0)+IF($F59=4040,G59,0)+IF($F59=4047,G59,0)+IF($F59=4049,G59,0)</f>
        <v>0</v>
      </c>
      <c r="M59" s="195">
        <f>IF($F59=4170,H59,0)+IF($F59=4177,H59,0)+IF($F59=4179,H59,0)+IF($F59=4010,H59,0)+IF($F59=4110,H59,0)+IF($F59=4120,H59,0)+IF($F59=4017,H59,0)+IF($F59=4117,H59,0)+IF($F59=4127,H59,0)+IF($F59=4019,H59,0)+IF($F59=4119,H59,0)+IF($F59=4129,H59,0)+IF($F59=4040,H59,0)+IF($F59=4047,H59,0)+IF($F59=4049,H59,0)</f>
        <v>0</v>
      </c>
      <c r="N59" s="195">
        <f>IF($B59=75022,G59,0)+IF($B59=75023,G59,0)</f>
        <v>0</v>
      </c>
      <c r="O59" s="195">
        <f>IF($B59=75022,H59,0)+IF($B59=75023,H59,0)</f>
        <v>0</v>
      </c>
    </row>
    <row r="60" spans="1:15" ht="12.75">
      <c r="A60" s="190"/>
      <c r="B60" s="191"/>
      <c r="C60" s="191"/>
      <c r="D60" s="192"/>
      <c r="E60" s="192"/>
      <c r="F60" s="193">
        <v>4440</v>
      </c>
      <c r="G60" s="192">
        <v>742</v>
      </c>
      <c r="H60" s="192"/>
      <c r="I60" s="205"/>
      <c r="L60" s="195">
        <f>IF($F60=4170,G60,0)+IF($F60=4177,G60,0)+IF($F60=4179,G60,0)+IF($F60=4010,G60,0)+IF($F60=4110,G60,0)+IF($F60=4120,G60,0)+IF($F60=4017,G60,0)+IF($F60=4117,G60,0)+IF($F60=4127,G60,0)+IF($F60=4019,G60,0)+IF($F60=4119,G60,0)+IF($F60=4129,G60,0)+IF($F60=4040,G60,0)+IF($F60=4047,G60,0)+IF($F60=4049,G60,0)</f>
        <v>0</v>
      </c>
      <c r="M60" s="195">
        <f>IF($F60=4170,H60,0)+IF($F60=4177,H60,0)+IF($F60=4179,H60,0)+IF($F60=4010,H60,0)+IF($F60=4110,H60,0)+IF($F60=4120,H60,0)+IF($F60=4017,H60,0)+IF($F60=4117,H60,0)+IF($F60=4127,H60,0)+IF($F60=4019,H60,0)+IF($F60=4119,H60,0)+IF($F60=4129,H60,0)+IF($F60=4040,H60,0)+IF($F60=4047,H60,0)+IF($F60=4049,H60,0)</f>
        <v>0</v>
      </c>
      <c r="N60" s="195">
        <f>IF($B60=75022,G60,0)+IF($B60=75023,G60,0)</f>
        <v>0</v>
      </c>
      <c r="O60" s="195">
        <f>IF($B60=75022,H60,0)+IF($B60=75023,H60,0)</f>
        <v>0</v>
      </c>
    </row>
    <row r="61" spans="1:15" ht="12.75">
      <c r="A61" s="190"/>
      <c r="B61" s="191" t="s">
        <v>283</v>
      </c>
      <c r="C61" s="191"/>
      <c r="D61" s="192"/>
      <c r="E61" s="192"/>
      <c r="F61" s="193">
        <v>4300</v>
      </c>
      <c r="G61" s="192"/>
      <c r="H61" s="192">
        <v>104</v>
      </c>
      <c r="I61" s="205"/>
      <c r="L61" s="195">
        <f>IF($F61=4170,G61,0)+IF($F61=4177,G61,0)+IF($F61=4179,G61,0)+IF($F61=4010,G61,0)+IF($F61=4110,G61,0)+IF($F61=4120,G61,0)+IF($F61=4017,G61,0)+IF($F61=4117,G61,0)+IF($F61=4127,G61,0)+IF($F61=4019,G61,0)+IF($F61=4119,G61,0)+IF($F61=4129,G61,0)+IF($F61=4040,G61,0)+IF($F61=4047,G61,0)+IF($F61=4049,G61,0)</f>
        <v>0</v>
      </c>
      <c r="M61" s="195">
        <f>IF($F61=4170,H61,0)+IF($F61=4177,H61,0)+IF($F61=4179,H61,0)+IF($F61=4010,H61,0)+IF($F61=4110,H61,0)+IF($F61=4120,H61,0)+IF($F61=4017,H61,0)+IF($F61=4117,H61,0)+IF($F61=4127,H61,0)+IF($F61=4019,H61,0)+IF($F61=4119,H61,0)+IF($F61=4129,H61,0)+IF($F61=4040,H61,0)+IF($F61=4047,H61,0)+IF($F61=4049,H61,0)</f>
        <v>0</v>
      </c>
      <c r="N61" s="195">
        <f>IF($B61=75022,G61,0)+IF($B61=75023,G61,0)</f>
        <v>0</v>
      </c>
      <c r="O61" s="195">
        <f>IF($B61=75022,H61,0)+IF($B61=75023,H61,0)</f>
        <v>0</v>
      </c>
    </row>
    <row r="62" spans="1:15" ht="12.75">
      <c r="A62" s="190"/>
      <c r="B62" s="191"/>
      <c r="C62" s="191"/>
      <c r="D62" s="192"/>
      <c r="E62" s="192"/>
      <c r="F62" s="193">
        <v>4440</v>
      </c>
      <c r="G62" s="192">
        <v>104</v>
      </c>
      <c r="H62" s="192"/>
      <c r="I62" s="205"/>
      <c r="L62" s="195">
        <f>IF($F62=4170,G62,0)+IF($F62=4177,G62,0)+IF($F62=4179,G62,0)+IF($F62=4010,G62,0)+IF($F62=4110,G62,0)+IF($F62=4120,G62,0)+IF($F62=4017,G62,0)+IF($F62=4117,G62,0)+IF($F62=4127,G62,0)+IF($F62=4019,G62,0)+IF($F62=4119,G62,0)+IF($F62=4129,G62,0)+IF($F62=4040,G62,0)+IF($F62=4047,G62,0)+IF($F62=4049,G62,0)</f>
        <v>0</v>
      </c>
      <c r="M62" s="195">
        <f>IF($F62=4170,H62,0)+IF($F62=4177,H62,0)+IF($F62=4179,H62,0)+IF($F62=4010,H62,0)+IF($F62=4110,H62,0)+IF($F62=4120,H62,0)+IF($F62=4017,H62,0)+IF($F62=4117,H62,0)+IF($F62=4127,H62,0)+IF($F62=4019,H62,0)+IF($F62=4119,H62,0)+IF($F62=4129,H62,0)+IF($F62=4040,H62,0)+IF($F62=4047,H62,0)+IF($F62=4049,H62,0)</f>
        <v>0</v>
      </c>
      <c r="N62" s="195">
        <f>IF($B62=75022,G62,0)+IF($B62=75023,G62,0)</f>
        <v>0</v>
      </c>
      <c r="O62" s="195">
        <f>IF($B62=75022,H62,0)+IF($B62=75023,H62,0)</f>
        <v>0</v>
      </c>
    </row>
    <row r="63" spans="1:15" ht="12.75">
      <c r="A63" s="190"/>
      <c r="B63" s="191" t="s">
        <v>284</v>
      </c>
      <c r="C63" s="191"/>
      <c r="D63" s="192"/>
      <c r="E63" s="192"/>
      <c r="F63" s="193">
        <v>4210</v>
      </c>
      <c r="G63" s="192"/>
      <c r="H63" s="192">
        <v>3336</v>
      </c>
      <c r="I63" s="205"/>
      <c r="L63" s="195">
        <f>IF($F63=4170,G63,0)+IF($F63=4177,G63,0)+IF($F63=4179,G63,0)+IF($F63=4010,G63,0)+IF($F63=4110,G63,0)+IF($F63=4120,G63,0)+IF($F63=4017,G63,0)+IF($F63=4117,G63,0)+IF($F63=4127,G63,0)+IF($F63=4019,G63,0)+IF($F63=4119,G63,0)+IF($F63=4129,G63,0)+IF($F63=4040,G63,0)+IF($F63=4047,G63,0)+IF($F63=4049,G63,0)</f>
        <v>0</v>
      </c>
      <c r="M63" s="195">
        <f>IF($F63=4170,H63,0)+IF($F63=4177,H63,0)+IF($F63=4179,H63,0)+IF($F63=4010,H63,0)+IF($F63=4110,H63,0)+IF($F63=4120,H63,0)+IF($F63=4017,H63,0)+IF($F63=4117,H63,0)+IF($F63=4127,H63,0)+IF($F63=4019,H63,0)+IF($F63=4119,H63,0)+IF($F63=4129,H63,0)+IF($F63=4040,H63,0)+IF($F63=4047,H63,0)+IF($F63=4049,H63,0)</f>
        <v>0</v>
      </c>
      <c r="N63" s="195">
        <f>IF($B63=75022,G63,0)+IF($B63=75023,G63,0)</f>
        <v>0</v>
      </c>
      <c r="O63" s="195">
        <f>IF($B63=75022,H63,0)+IF($B63=75023,H63,0)</f>
        <v>0</v>
      </c>
    </row>
    <row r="64" spans="1:15" ht="12.75">
      <c r="A64" s="190"/>
      <c r="B64" s="191"/>
      <c r="C64" s="191"/>
      <c r="D64" s="192"/>
      <c r="E64" s="192"/>
      <c r="F64" s="193">
        <v>4260</v>
      </c>
      <c r="G64" s="192">
        <v>3044</v>
      </c>
      <c r="H64" s="192"/>
      <c r="I64" s="205"/>
      <c r="L64" s="195">
        <f>IF($F64=4170,G64,0)+IF($F64=4177,G64,0)+IF($F64=4179,G64,0)+IF($F64=4010,G64,0)+IF($F64=4110,G64,0)+IF($F64=4120,G64,0)+IF($F64=4017,G64,0)+IF($F64=4117,G64,0)+IF($F64=4127,G64,0)+IF($F64=4019,G64,0)+IF($F64=4119,G64,0)+IF($F64=4129,G64,0)+IF($F64=4040,G64,0)+IF($F64=4047,G64,0)+IF($F64=4049,G64,0)</f>
        <v>0</v>
      </c>
      <c r="M64" s="195">
        <f>IF($F64=4170,H64,0)+IF($F64=4177,H64,0)+IF($F64=4179,H64,0)+IF($F64=4010,H64,0)+IF($F64=4110,H64,0)+IF($F64=4120,H64,0)+IF($F64=4017,H64,0)+IF($F64=4117,H64,0)+IF($F64=4127,H64,0)+IF($F64=4019,H64,0)+IF($F64=4119,H64,0)+IF($F64=4129,H64,0)+IF($F64=4040,H64,0)+IF($F64=4047,H64,0)+IF($F64=4049,H64,0)</f>
        <v>0</v>
      </c>
      <c r="N64" s="195">
        <f>IF($B64=75022,G64,0)+IF($B64=75023,G64,0)</f>
        <v>0</v>
      </c>
      <c r="O64" s="195">
        <f>IF($B64=75022,H64,0)+IF($B64=75023,H64,0)</f>
        <v>0</v>
      </c>
    </row>
    <row r="65" spans="1:15" ht="12.75">
      <c r="A65" s="190"/>
      <c r="B65" s="191"/>
      <c r="C65" s="191"/>
      <c r="D65" s="192"/>
      <c r="E65" s="192"/>
      <c r="F65" s="193">
        <v>4420</v>
      </c>
      <c r="G65" s="192">
        <v>500</v>
      </c>
      <c r="H65" s="192"/>
      <c r="I65" s="205"/>
      <c r="L65" s="195">
        <f>IF($F65=4170,G65,0)+IF($F65=4177,G65,0)+IF($F65=4179,G65,0)+IF($F65=4010,G65,0)+IF($F65=4110,G65,0)+IF($F65=4120,G65,0)+IF($F65=4017,G65,0)+IF($F65=4117,G65,0)+IF($F65=4127,G65,0)+IF($F65=4019,G65,0)+IF($F65=4119,G65,0)+IF($F65=4129,G65,0)+IF($F65=4040,G65,0)+IF($F65=4047,G65,0)+IF($F65=4049,G65,0)</f>
        <v>0</v>
      </c>
      <c r="M65" s="195">
        <f>IF($F65=4170,H65,0)+IF($F65=4177,H65,0)+IF($F65=4179,H65,0)+IF($F65=4010,H65,0)+IF($F65=4110,H65,0)+IF($F65=4120,H65,0)+IF($F65=4017,H65,0)+IF($F65=4117,H65,0)+IF($F65=4127,H65,0)+IF($F65=4019,H65,0)+IF($F65=4119,H65,0)+IF($F65=4129,H65,0)+IF($F65=4040,H65,0)+IF($F65=4047,H65,0)+IF($F65=4049,H65,0)</f>
        <v>0</v>
      </c>
      <c r="N65" s="195">
        <f>IF($B65=75022,G65,0)+IF($B65=75023,G65,0)</f>
        <v>0</v>
      </c>
      <c r="O65" s="195">
        <f>IF($B65=75022,H65,0)+IF($B65=75023,H65,0)</f>
        <v>0</v>
      </c>
    </row>
    <row r="66" spans="1:15" ht="12.75">
      <c r="A66" s="190"/>
      <c r="B66" s="191"/>
      <c r="C66" s="191"/>
      <c r="D66" s="192"/>
      <c r="E66" s="192"/>
      <c r="F66" s="193">
        <v>4430</v>
      </c>
      <c r="G66" s="192">
        <v>2000</v>
      </c>
      <c r="H66" s="192"/>
      <c r="I66" s="205"/>
      <c r="L66" s="195">
        <f>IF($F66=4170,G66,0)+IF($F66=4177,G66,0)+IF($F66=4179,G66,0)+IF($F66=4010,G66,0)+IF($F66=4110,G66,0)+IF($F66=4120,G66,0)+IF($F66=4017,G66,0)+IF($F66=4117,G66,0)+IF($F66=4127,G66,0)+IF($F66=4019,G66,0)+IF($F66=4119,G66,0)+IF($F66=4129,G66,0)+IF($F66=4040,G66,0)+IF($F66=4047,G66,0)+IF($F66=4049,G66,0)</f>
        <v>0</v>
      </c>
      <c r="M66" s="195">
        <f>IF($F66=4170,H66,0)+IF($F66=4177,H66,0)+IF($F66=4179,H66,0)+IF($F66=4010,H66,0)+IF($F66=4110,H66,0)+IF($F66=4120,H66,0)+IF($F66=4017,H66,0)+IF($F66=4117,H66,0)+IF($F66=4127,H66,0)+IF($F66=4019,H66,0)+IF($F66=4119,H66,0)+IF($F66=4129,H66,0)+IF($F66=4040,H66,0)+IF($F66=4047,H66,0)+IF($F66=4049,H66,0)</f>
        <v>0</v>
      </c>
      <c r="N66" s="195">
        <f>IF($B66=75022,G66,0)+IF($B66=75023,G66,0)</f>
        <v>0</v>
      </c>
      <c r="O66" s="195">
        <f>IF($B66=75022,H66,0)+IF($B66=75023,H66,0)</f>
        <v>0</v>
      </c>
    </row>
    <row r="67" spans="1:15" ht="12.75">
      <c r="A67" s="190"/>
      <c r="B67" s="191"/>
      <c r="C67" s="191"/>
      <c r="D67" s="192"/>
      <c r="E67" s="192"/>
      <c r="F67" s="193">
        <v>4440</v>
      </c>
      <c r="G67" s="192"/>
      <c r="H67" s="192">
        <v>456</v>
      </c>
      <c r="I67" s="205"/>
      <c r="L67" s="195">
        <f>IF($F67=4170,G67,0)+IF($F67=4177,G67,0)+IF($F67=4179,G67,0)+IF($F67=4010,G67,0)+IF($F67=4110,G67,0)+IF($F67=4120,G67,0)+IF($F67=4017,G67,0)+IF($F67=4117,G67,0)+IF($F67=4127,G67,0)+IF($F67=4019,G67,0)+IF($F67=4119,G67,0)+IF($F67=4129,G67,0)+IF($F67=4040,G67,0)+IF($F67=4047,G67,0)+IF($F67=4049,G67,0)</f>
        <v>0</v>
      </c>
      <c r="M67" s="195">
        <f>IF($F67=4170,H67,0)+IF($F67=4177,H67,0)+IF($F67=4179,H67,0)+IF($F67=4010,H67,0)+IF($F67=4110,H67,0)+IF($F67=4120,H67,0)+IF($F67=4017,H67,0)+IF($F67=4117,H67,0)+IF($F67=4127,H67,0)+IF($F67=4019,H67,0)+IF($F67=4119,H67,0)+IF($F67=4129,H67,0)+IF($F67=4040,H67,0)+IF($F67=4047,H67,0)+IF($F67=4049,H67,0)</f>
        <v>0</v>
      </c>
      <c r="N67" s="195">
        <f>IF($B67=75022,G67,0)+IF($B67=75023,G67,0)</f>
        <v>0</v>
      </c>
      <c r="O67" s="195">
        <f>IF($B67=75022,H67,0)+IF($B67=75023,H67,0)</f>
        <v>0</v>
      </c>
    </row>
    <row r="68" spans="1:15" ht="12.75">
      <c r="A68" s="190"/>
      <c r="B68" s="191"/>
      <c r="C68" s="191"/>
      <c r="D68" s="192"/>
      <c r="E68" s="192"/>
      <c r="F68" s="193">
        <v>4480</v>
      </c>
      <c r="G68" s="192">
        <v>748</v>
      </c>
      <c r="H68" s="192"/>
      <c r="I68" s="196"/>
      <c r="L68" s="195">
        <f>IF($F68=4170,G68,0)+IF($F68=4177,G68,0)+IF($F68=4179,G68,0)+IF($F68=4010,G68,0)+IF($F68=4110,G68,0)+IF($F68=4120,G68,0)+IF($F68=4017,G68,0)+IF($F68=4117,G68,0)+IF($F68=4127,G68,0)+IF($F68=4019,G68,0)+IF($F68=4119,G68,0)+IF($F68=4129,G68,0)+IF($F68=4040,G68,0)+IF($F68=4047,G68,0)+IF($F68=4049,G68,0)</f>
        <v>0</v>
      </c>
      <c r="M68" s="195">
        <f>IF($F68=4170,H68,0)+IF($F68=4177,H68,0)+IF($F68=4179,H68,0)+IF($F68=4010,H68,0)+IF($F68=4110,H68,0)+IF($F68=4120,H68,0)+IF($F68=4017,H68,0)+IF($F68=4117,H68,0)+IF($F68=4127,H68,0)+IF($F68=4019,H68,0)+IF($F68=4119,H68,0)+IF($F68=4129,H68,0)+IF($F68=4040,H68,0)+IF($F68=4047,H68,0)+IF($F68=4049,H68,0)</f>
        <v>0</v>
      </c>
      <c r="N68" s="195">
        <f>IF($B68=75022,G68,0)+IF($B68=75023,G68,0)</f>
        <v>0</v>
      </c>
      <c r="O68" s="195">
        <f>IF($B68=75022,H68,0)+IF($B68=75023,H68,0)</f>
        <v>0</v>
      </c>
    </row>
    <row r="69" spans="1:15" ht="12.75">
      <c r="A69" s="190"/>
      <c r="B69" s="191"/>
      <c r="C69" s="191"/>
      <c r="D69" s="192"/>
      <c r="E69" s="192"/>
      <c r="F69" s="193">
        <v>4700</v>
      </c>
      <c r="G69" s="192"/>
      <c r="H69" s="192">
        <v>2500</v>
      </c>
      <c r="I69" s="196"/>
      <c r="L69" s="195">
        <f>IF($F69=4170,G69,0)+IF($F69=4177,G69,0)+IF($F69=4179,G69,0)+IF($F69=4010,G69,0)+IF($F69=4110,G69,0)+IF($F69=4120,G69,0)+IF($F69=4017,G69,0)+IF($F69=4117,G69,0)+IF($F69=4127,G69,0)+IF($F69=4019,G69,0)+IF($F69=4119,G69,0)+IF($F69=4129,G69,0)+IF($F69=4040,G69,0)+IF($F69=4047,G69,0)+IF($F69=4049,G69,0)</f>
        <v>0</v>
      </c>
      <c r="M69" s="195">
        <f>IF($F69=4170,H69,0)+IF($F69=4177,H69,0)+IF($F69=4179,H69,0)+IF($F69=4010,H69,0)+IF($F69=4110,H69,0)+IF($F69=4120,H69,0)+IF($F69=4017,H69,0)+IF($F69=4117,H69,0)+IF($F69=4127,H69,0)+IF($F69=4019,H69,0)+IF($F69=4119,H69,0)+IF($F69=4129,H69,0)+IF($F69=4040,H69,0)+IF($F69=4047,H69,0)+IF($F69=4049,H69,0)</f>
        <v>0</v>
      </c>
      <c r="N69" s="195">
        <f>IF($B69=75022,G69,0)+IF($B69=75023,G69,0)</f>
        <v>0</v>
      </c>
      <c r="O69" s="195">
        <f>IF($B69=75022,H69,0)+IF($B69=75023,H69,0)</f>
        <v>0</v>
      </c>
    </row>
    <row r="70" spans="1:15" ht="12.75">
      <c r="A70" s="190"/>
      <c r="B70" s="191"/>
      <c r="C70" s="191"/>
      <c r="D70" s="192"/>
      <c r="E70" s="192"/>
      <c r="F70" s="193"/>
      <c r="G70" s="192"/>
      <c r="H70" s="192"/>
      <c r="I70" s="196"/>
      <c r="L70" s="195">
        <f>IF($F70=4170,G70,0)+IF($F70=4177,G70,0)+IF($F70=4179,G70,0)+IF($F70=4010,G70,0)+IF($F70=4110,G70,0)+IF($F70=4120,G70,0)+IF($F70=4017,G70,0)+IF($F70=4117,G70,0)+IF($F70=4127,G70,0)+IF($F70=4019,G70,0)+IF($F70=4119,G70,0)+IF($F70=4129,G70,0)+IF($F70=4040,G70,0)+IF($F70=4047,G70,0)+IF($F70=4049,G70,0)</f>
        <v>0</v>
      </c>
      <c r="M70" s="195">
        <f>IF($F70=4170,H70,0)+IF($F70=4177,H70,0)+IF($F70=4179,H70,0)+IF($F70=4010,H70,0)+IF($F70=4110,H70,0)+IF($F70=4120,H70,0)+IF($F70=4017,H70,0)+IF($F70=4117,H70,0)+IF($F70=4127,H70,0)+IF($F70=4019,H70,0)+IF($F70=4119,H70,0)+IF($F70=4129,H70,0)+IF($F70=4040,H70,0)+IF($F70=4047,H70,0)+IF($F70=4049,H70,0)</f>
        <v>0</v>
      </c>
      <c r="N70" s="195">
        <f>IF($B70=75022,G70,0)+IF($B70=75023,G70,0)</f>
        <v>0</v>
      </c>
      <c r="O70" s="195">
        <f>IF($B70=75022,H70,0)+IF($B70=75023,H70,0)</f>
        <v>0</v>
      </c>
    </row>
    <row r="71" spans="1:15" ht="12.75">
      <c r="A71" s="190" t="s">
        <v>285</v>
      </c>
      <c r="B71" s="191" t="s">
        <v>274</v>
      </c>
      <c r="C71" s="191"/>
      <c r="D71" s="192"/>
      <c r="E71" s="192"/>
      <c r="F71" s="193">
        <v>4280</v>
      </c>
      <c r="G71" s="192">
        <v>800</v>
      </c>
      <c r="H71" s="192"/>
      <c r="I71" s="196"/>
      <c r="L71" s="195">
        <f>IF($F71=4170,G71,0)+IF($F71=4177,G71,0)+IF($F71=4179,G71,0)+IF($F71=4010,G71,0)+IF($F71=4110,G71,0)+IF($F71=4120,G71,0)+IF($F71=4017,G71,0)+IF($F71=4117,G71,0)+IF($F71=4127,G71,0)+IF($F71=4019,G71,0)+IF($F71=4119,G71,0)+IF($F71=4129,G71,0)+IF($F71=4040,G71,0)+IF($F71=4047,G71,0)+IF($F71=4049,G71,0)</f>
        <v>0</v>
      </c>
      <c r="M71" s="195">
        <f>IF($F71=4170,H71,0)+IF($F71=4177,H71,0)+IF($F71=4179,H71,0)+IF($F71=4010,H71,0)+IF($F71=4110,H71,0)+IF($F71=4120,H71,0)+IF($F71=4017,H71,0)+IF($F71=4117,H71,0)+IF($F71=4127,H71,0)+IF($F71=4019,H71,0)+IF($F71=4119,H71,0)+IF($F71=4129,H71,0)+IF($F71=4040,H71,0)+IF($F71=4047,H71,0)+IF($F71=4049,H71,0)</f>
        <v>0</v>
      </c>
      <c r="N71" s="195">
        <f>IF($B71=75022,G71,0)+IF($B71=75023,G71,0)</f>
        <v>0</v>
      </c>
      <c r="O71" s="195">
        <f>IF($B71=75022,H71,0)+IF($B71=75023,H71,0)</f>
        <v>0</v>
      </c>
    </row>
    <row r="72" spans="1:15" ht="12.75">
      <c r="A72" s="190"/>
      <c r="B72" s="191"/>
      <c r="C72" s="191"/>
      <c r="D72" s="192"/>
      <c r="E72" s="192"/>
      <c r="F72" s="193">
        <v>4350</v>
      </c>
      <c r="G72" s="192"/>
      <c r="H72" s="192">
        <v>1800</v>
      </c>
      <c r="I72" s="196"/>
      <c r="L72" s="195">
        <f>IF($F72=4170,G72,0)+IF($F72=4177,G72,0)+IF($F72=4179,G72,0)+IF($F72=4010,G72,0)+IF($F72=4110,G72,0)+IF($F72=4120,G72,0)+IF($F72=4017,G72,0)+IF($F72=4117,G72,0)+IF($F72=4127,G72,0)+IF($F72=4019,G72,0)+IF($F72=4119,G72,0)+IF($F72=4129,G72,0)+IF($F72=4040,G72,0)+IF($F72=4047,G72,0)+IF($F72=4049,G72,0)</f>
        <v>0</v>
      </c>
      <c r="M72" s="195">
        <f>IF($F72=4170,H72,0)+IF($F72=4177,H72,0)+IF($F72=4179,H72,0)+IF($F72=4010,H72,0)+IF($F72=4110,H72,0)+IF($F72=4120,H72,0)+IF($F72=4017,H72,0)+IF($F72=4117,H72,0)+IF($F72=4127,H72,0)+IF($F72=4019,H72,0)+IF($F72=4119,H72,0)+IF($F72=4129,H72,0)+IF($F72=4040,H72,0)+IF($F72=4047,H72,0)+IF($F72=4049,H72,0)</f>
        <v>0</v>
      </c>
      <c r="N72" s="195">
        <f>IF($B72=75022,G72,0)+IF($B72=75023,G72,0)</f>
        <v>0</v>
      </c>
      <c r="O72" s="195">
        <f>IF($B72=75022,H72,0)+IF($B72=75023,H72,0)</f>
        <v>0</v>
      </c>
    </row>
    <row r="73" spans="1:15" ht="12.75">
      <c r="A73" s="190"/>
      <c r="B73" s="191"/>
      <c r="C73" s="191"/>
      <c r="D73" s="192"/>
      <c r="E73" s="192"/>
      <c r="F73" s="193">
        <v>4410</v>
      </c>
      <c r="G73" s="192">
        <v>1000</v>
      </c>
      <c r="H73" s="192"/>
      <c r="I73" s="196"/>
      <c r="L73" s="195">
        <f>IF($F73=4170,G73,0)+IF($F73=4177,G73,0)+IF($F73=4179,G73,0)+IF($F73=4010,G73,0)+IF($F73=4110,G73,0)+IF($F73=4120,G73,0)+IF($F73=4017,G73,0)+IF($F73=4117,G73,0)+IF($F73=4127,G73,0)+IF($F73=4019,G73,0)+IF($F73=4119,G73,0)+IF($F73=4129,G73,0)+IF($F73=4040,G73,0)+IF($F73=4047,G73,0)+IF($F73=4049,G73,0)</f>
        <v>0</v>
      </c>
      <c r="M73" s="195">
        <f>IF($F73=4170,H73,0)+IF($F73=4177,H73,0)+IF($F73=4179,H73,0)+IF($F73=4010,H73,0)+IF($F73=4110,H73,0)+IF($F73=4120,H73,0)+IF($F73=4017,H73,0)+IF($F73=4117,H73,0)+IF($F73=4127,H73,0)+IF($F73=4019,H73,0)+IF($F73=4119,H73,0)+IF($F73=4129,H73,0)+IF($F73=4040,H73,0)+IF($F73=4047,H73,0)+IF($F73=4049,H73,0)</f>
        <v>0</v>
      </c>
      <c r="N73" s="195">
        <f>IF($B73=75022,G73,0)+IF($B73=75023,G73,0)</f>
        <v>0</v>
      </c>
      <c r="O73" s="195">
        <f>IF($B73=75022,H73,0)+IF($B73=75023,H73,0)</f>
        <v>0</v>
      </c>
    </row>
    <row r="74" spans="1:15" ht="12.75">
      <c r="A74" s="190"/>
      <c r="B74" s="191" t="s">
        <v>275</v>
      </c>
      <c r="C74" s="191"/>
      <c r="D74" s="192"/>
      <c r="E74" s="192"/>
      <c r="F74" s="193">
        <v>4210</v>
      </c>
      <c r="G74" s="192"/>
      <c r="H74" s="192">
        <v>8000</v>
      </c>
      <c r="I74" s="196"/>
      <c r="L74" s="195">
        <f>IF($F74=4170,G74,0)+IF($F74=4177,G74,0)+IF($F74=4179,G74,0)+IF($F74=4010,G74,0)+IF($F74=4110,G74,0)+IF($F74=4120,G74,0)+IF($F74=4017,G74,0)+IF($F74=4117,G74,0)+IF($F74=4127,G74,0)+IF($F74=4019,G74,0)+IF($F74=4119,G74,0)+IF($F74=4129,G74,0)+IF($F74=4040,G74,0)+IF($F74=4047,G74,0)+IF($F74=4049,G74,0)</f>
        <v>0</v>
      </c>
      <c r="M74" s="195">
        <f>IF($F74=4170,H74,0)+IF($F74=4177,H74,0)+IF($F74=4179,H74,0)+IF($F74=4010,H74,0)+IF($F74=4110,H74,0)+IF($F74=4120,H74,0)+IF($F74=4017,H74,0)+IF($F74=4117,H74,0)+IF($F74=4127,H74,0)+IF($F74=4019,H74,0)+IF($F74=4119,H74,0)+IF($F74=4129,H74,0)+IF($F74=4040,H74,0)+IF($F74=4047,H74,0)+IF($F74=4049,H74,0)</f>
        <v>0</v>
      </c>
      <c r="N74" s="195">
        <f>IF($B74=75022,G74,0)+IF($B74=75023,G74,0)</f>
        <v>0</v>
      </c>
      <c r="O74" s="195">
        <f>IF($B74=75022,H74,0)+IF($B74=75023,H74,0)</f>
        <v>0</v>
      </c>
    </row>
    <row r="75" spans="1:15" ht="12.75">
      <c r="A75" s="190"/>
      <c r="B75" s="191" t="s">
        <v>286</v>
      </c>
      <c r="C75" s="191"/>
      <c r="D75" s="192"/>
      <c r="E75" s="192"/>
      <c r="F75" s="193">
        <v>4210</v>
      </c>
      <c r="G75" s="192">
        <v>8000</v>
      </c>
      <c r="H75" s="192"/>
      <c r="I75" s="196"/>
      <c r="L75" s="195">
        <f>IF($F75=4170,G75,0)+IF($F75=4177,G75,0)+IF($F75=4179,G75,0)+IF($F75=4010,G75,0)+IF($F75=4110,G75,0)+IF($F75=4120,G75,0)+IF($F75=4017,G75,0)+IF($F75=4117,G75,0)+IF($F75=4127,G75,0)+IF($F75=4019,G75,0)+IF($F75=4119,G75,0)+IF($F75=4129,G75,0)+IF($F75=4040,G75,0)+IF($F75=4047,G75,0)+IF($F75=4049,G75,0)</f>
        <v>0</v>
      </c>
      <c r="M75" s="195">
        <f>IF($F75=4170,H75,0)+IF($F75=4177,H75,0)+IF($F75=4179,H75,0)+IF($F75=4010,H75,0)+IF($F75=4110,H75,0)+IF($F75=4120,H75,0)+IF($F75=4017,H75,0)+IF($F75=4117,H75,0)+IF($F75=4127,H75,0)+IF($F75=4019,H75,0)+IF($F75=4119,H75,0)+IF($F75=4129,H75,0)+IF($F75=4040,H75,0)+IF($F75=4047,H75,0)+IF($F75=4049,H75,0)</f>
        <v>0</v>
      </c>
      <c r="N75" s="195">
        <f>IF($B75=75022,G75,0)+IF($B75=75023,G75,0)</f>
        <v>0</v>
      </c>
      <c r="O75" s="195">
        <f>IF($B75=75022,H75,0)+IF($B75=75023,H75,0)</f>
        <v>0</v>
      </c>
    </row>
    <row r="76" spans="1:15" ht="12.75">
      <c r="A76" s="190"/>
      <c r="B76" s="191"/>
      <c r="C76" s="191"/>
      <c r="D76" s="192"/>
      <c r="E76" s="192"/>
      <c r="F76" s="193"/>
      <c r="G76" s="192"/>
      <c r="H76" s="192"/>
      <c r="I76" s="196"/>
      <c r="L76" s="195">
        <f>IF($F76=4170,G76,0)+IF($F76=4177,G76,0)+IF($F76=4179,G76,0)+IF($F76=4010,G76,0)+IF($F76=4110,G76,0)+IF($F76=4120,G76,0)+IF($F76=4017,G76,0)+IF($F76=4117,G76,0)+IF($F76=4127,G76,0)+IF($F76=4019,G76,0)+IF($F76=4119,G76,0)+IF($F76=4129,G76,0)+IF($F76=4040,G76,0)+IF($F76=4047,G76,0)+IF($F76=4049,G76,0)</f>
        <v>0</v>
      </c>
      <c r="M76" s="195">
        <f>IF($F76=4170,H76,0)+IF($F76=4177,H76,0)+IF($F76=4179,H76,0)+IF($F76=4010,H76,0)+IF($F76=4110,H76,0)+IF($F76=4120,H76,0)+IF($F76=4017,H76,0)+IF($F76=4117,H76,0)+IF($F76=4127,H76,0)+IF($F76=4019,H76,0)+IF($F76=4119,H76,0)+IF($F76=4129,H76,0)+IF($F76=4040,H76,0)+IF($F76=4047,H76,0)+IF($F76=4049,H76,0)</f>
        <v>0</v>
      </c>
      <c r="N76" s="195">
        <f>IF($B76=75022,G76,0)+IF($B76=75023,G76,0)</f>
        <v>0</v>
      </c>
      <c r="O76" s="195">
        <f>IF($B76=75022,H76,0)+IF($B76=75023,H76,0)</f>
        <v>0</v>
      </c>
    </row>
    <row r="77" spans="1:15" ht="12.75">
      <c r="A77" s="190" t="s">
        <v>185</v>
      </c>
      <c r="B77" s="191" t="s">
        <v>287</v>
      </c>
      <c r="C77" s="191"/>
      <c r="D77" s="192"/>
      <c r="E77" s="192"/>
      <c r="F77" s="193">
        <v>4260</v>
      </c>
      <c r="G77" s="192">
        <v>6572</v>
      </c>
      <c r="H77" s="192"/>
      <c r="I77" s="196"/>
      <c r="L77" s="195">
        <f>IF($F77=4170,G77,0)+IF($F77=4177,G77,0)+IF($F77=4179,G77,0)+IF($F77=4010,G77,0)+IF($F77=4110,G77,0)+IF($F77=4120,G77,0)+IF($F77=4017,G77,0)+IF($F77=4117,G77,0)+IF($F77=4127,G77,0)+IF($F77=4019,G77,0)+IF($F77=4119,G77,0)+IF($F77=4129,G77,0)+IF($F77=4040,G77,0)+IF($F77=4047,G77,0)+IF($F77=4049,G77,0)</f>
        <v>0</v>
      </c>
      <c r="M77" s="195">
        <f>IF($F77=4170,H77,0)+IF($F77=4177,H77,0)+IF($F77=4179,H77,0)+IF($F77=4010,H77,0)+IF($F77=4110,H77,0)+IF($F77=4120,H77,0)+IF($F77=4017,H77,0)+IF($F77=4117,H77,0)+IF($F77=4127,H77,0)+IF($F77=4019,H77,0)+IF($F77=4119,H77,0)+IF($F77=4129,H77,0)+IF($F77=4040,H77,0)+IF($F77=4047,H77,0)+IF($F77=4049,H77,0)</f>
        <v>0</v>
      </c>
      <c r="N77" s="195">
        <f>IF($B77=75022,G77,0)+IF($B77=75023,G77,0)</f>
        <v>0</v>
      </c>
      <c r="O77" s="195">
        <f>IF($B77=75022,H77,0)+IF($B77=75023,H77,0)</f>
        <v>0</v>
      </c>
    </row>
    <row r="78" spans="1:15" ht="12.75">
      <c r="A78" s="190"/>
      <c r="B78" s="191"/>
      <c r="C78" s="191"/>
      <c r="D78" s="192"/>
      <c r="E78" s="192"/>
      <c r="F78" s="193">
        <v>4350</v>
      </c>
      <c r="G78" s="192"/>
      <c r="H78" s="192">
        <v>1100</v>
      </c>
      <c r="I78" s="196"/>
      <c r="L78" s="195">
        <f>IF($F78=4170,G78,0)+IF($F78=4177,G78,0)+IF($F78=4179,G78,0)+IF($F78=4010,G78,0)+IF($F78=4110,G78,0)+IF($F78=4120,G78,0)+IF($F78=4017,G78,0)+IF($F78=4117,G78,0)+IF($F78=4127,G78,0)+IF($F78=4019,G78,0)+IF($F78=4119,G78,0)+IF($F78=4129,G78,0)+IF($F78=4040,G78,0)+IF($F78=4047,G78,0)+IF($F78=4049,G78,0)</f>
        <v>0</v>
      </c>
      <c r="M78" s="195">
        <f>IF($F78=4170,H78,0)+IF($F78=4177,H78,0)+IF($F78=4179,H78,0)+IF($F78=4010,H78,0)+IF($F78=4110,H78,0)+IF($F78=4120,H78,0)+IF($F78=4017,H78,0)+IF($F78=4117,H78,0)+IF($F78=4127,H78,0)+IF($F78=4019,H78,0)+IF($F78=4119,H78,0)+IF($F78=4129,H78,0)+IF($F78=4040,H78,0)+IF($F78=4047,H78,0)+IF($F78=4049,H78,0)</f>
        <v>0</v>
      </c>
      <c r="N78" s="195">
        <f>IF($B78=75022,G78,0)+IF($B78=75023,G78,0)</f>
        <v>0</v>
      </c>
      <c r="O78" s="195">
        <f>IF($B78=75022,H78,0)+IF($B78=75023,H78,0)</f>
        <v>0</v>
      </c>
    </row>
    <row r="79" spans="1:15" ht="12.75">
      <c r="A79" s="190"/>
      <c r="B79" s="191"/>
      <c r="C79" s="191"/>
      <c r="D79" s="192"/>
      <c r="E79" s="192"/>
      <c r="F79" s="193">
        <v>4360</v>
      </c>
      <c r="G79" s="192">
        <v>200</v>
      </c>
      <c r="H79" s="192"/>
      <c r="I79" s="196"/>
      <c r="L79" s="195">
        <f>IF($F79=4170,G79,0)+IF($F79=4177,G79,0)+IF($F79=4179,G79,0)+IF($F79=4010,G79,0)+IF($F79=4110,G79,0)+IF($F79=4120,G79,0)+IF($F79=4017,G79,0)+IF($F79=4117,G79,0)+IF($F79=4127,G79,0)+IF($F79=4019,G79,0)+IF($F79=4119,G79,0)+IF($F79=4129,G79,0)+IF($F79=4040,G79,0)+IF($F79=4047,G79,0)+IF($F79=4049,G79,0)</f>
        <v>0</v>
      </c>
      <c r="M79" s="195">
        <f>IF($F79=4170,H79,0)+IF($F79=4177,H79,0)+IF($F79=4179,H79,0)+IF($F79=4010,H79,0)+IF($F79=4110,H79,0)+IF($F79=4120,H79,0)+IF($F79=4017,H79,0)+IF($F79=4117,H79,0)+IF($F79=4127,H79,0)+IF($F79=4019,H79,0)+IF($F79=4119,H79,0)+IF($F79=4129,H79,0)+IF($F79=4040,H79,0)+IF($F79=4047,H79,0)+IF($F79=4049,H79,0)</f>
        <v>0</v>
      </c>
      <c r="N79" s="195">
        <f>IF($B79=75022,G79,0)+IF($B79=75023,G79,0)</f>
        <v>0</v>
      </c>
      <c r="O79" s="195">
        <f>IF($B79=75022,H79,0)+IF($B79=75023,H79,0)</f>
        <v>0</v>
      </c>
    </row>
    <row r="80" spans="1:15" ht="12.75">
      <c r="A80" s="190"/>
      <c r="B80" s="191"/>
      <c r="C80" s="191"/>
      <c r="D80" s="192"/>
      <c r="E80" s="192"/>
      <c r="F80" s="193">
        <v>4370</v>
      </c>
      <c r="G80" s="192">
        <v>700</v>
      </c>
      <c r="H80" s="192"/>
      <c r="I80" s="196"/>
      <c r="L80" s="195">
        <f>IF($F80=4170,G80,0)+IF($F80=4177,G80,0)+IF($F80=4179,G80,0)+IF($F80=4010,G80,0)+IF($F80=4110,G80,0)+IF($F80=4120,G80,0)+IF($F80=4017,G80,0)+IF($F80=4117,G80,0)+IF($F80=4127,G80,0)+IF($F80=4019,G80,0)+IF($F80=4119,G80,0)+IF($F80=4129,G80,0)+IF($F80=4040,G80,0)+IF($F80=4047,G80,0)+IF($F80=4049,G80,0)</f>
        <v>0</v>
      </c>
      <c r="M80" s="195">
        <f>IF($F80=4170,H80,0)+IF($F80=4177,H80,0)+IF($F80=4179,H80,0)+IF($F80=4010,H80,0)+IF($F80=4110,H80,0)+IF($F80=4120,H80,0)+IF($F80=4017,H80,0)+IF($F80=4117,H80,0)+IF($F80=4127,H80,0)+IF($F80=4019,H80,0)+IF($F80=4119,H80,0)+IF($F80=4129,H80,0)+IF($F80=4040,H80,0)+IF($F80=4047,H80,0)+IF($F80=4049,H80,0)</f>
        <v>0</v>
      </c>
      <c r="N80" s="195">
        <f>IF($B80=75022,G80,0)+IF($B80=75023,G80,0)</f>
        <v>0</v>
      </c>
      <c r="O80" s="195">
        <f>IF($B80=75022,H80,0)+IF($B80=75023,H80,0)</f>
        <v>0</v>
      </c>
    </row>
    <row r="81" spans="1:15" ht="12.75">
      <c r="A81" s="190"/>
      <c r="B81" s="191"/>
      <c r="C81" s="191"/>
      <c r="D81" s="192"/>
      <c r="E81" s="192"/>
      <c r="F81" s="193">
        <v>4440</v>
      </c>
      <c r="G81" s="192"/>
      <c r="H81" s="192">
        <v>16100</v>
      </c>
      <c r="I81" s="196"/>
      <c r="L81" s="195">
        <f>IF($F81=4170,G81,0)+IF($F81=4177,G81,0)+IF($F81=4179,G81,0)+IF($F81=4010,G81,0)+IF($F81=4110,G81,0)+IF($F81=4120,G81,0)+IF($F81=4017,G81,0)+IF($F81=4117,G81,0)+IF($F81=4127,G81,0)+IF($F81=4019,G81,0)+IF($F81=4119,G81,0)+IF($F81=4129,G81,0)+IF($F81=4040,G81,0)+IF($F81=4047,G81,0)+IF($F81=4049,G81,0)</f>
        <v>0</v>
      </c>
      <c r="M81" s="195">
        <f>IF($F81=4170,H81,0)+IF($F81=4177,H81,0)+IF($F81=4179,H81,0)+IF($F81=4010,H81,0)+IF($F81=4110,H81,0)+IF($F81=4120,H81,0)+IF($F81=4017,H81,0)+IF($F81=4117,H81,0)+IF($F81=4127,H81,0)+IF($F81=4019,H81,0)+IF($F81=4119,H81,0)+IF($F81=4129,H81,0)+IF($F81=4040,H81,0)+IF($F81=4047,H81,0)+IF($F81=4049,H81,0)</f>
        <v>0</v>
      </c>
      <c r="N81" s="195">
        <f>IF($B81=75022,G81,0)+IF($B81=75023,G81,0)</f>
        <v>0</v>
      </c>
      <c r="O81" s="195">
        <f>IF($B81=75022,H81,0)+IF($B81=75023,H81,0)</f>
        <v>0</v>
      </c>
    </row>
    <row r="82" spans="1:15" ht="12.75">
      <c r="A82" s="190"/>
      <c r="B82" s="191" t="s">
        <v>277</v>
      </c>
      <c r="C82" s="191"/>
      <c r="D82" s="192"/>
      <c r="E82" s="192"/>
      <c r="F82" s="193">
        <v>4700</v>
      </c>
      <c r="G82" s="192">
        <v>9728</v>
      </c>
      <c r="H82" s="192"/>
      <c r="I82" s="196"/>
      <c r="L82" s="195">
        <f>IF($F82=4170,G82,0)+IF($F82=4177,G82,0)+IF($F82=4179,G82,0)+IF($F82=4010,G82,0)+IF($F82=4110,G82,0)+IF($F82=4120,G82,0)+IF($F82=4017,G82,0)+IF($F82=4117,G82,0)+IF($F82=4127,G82,0)+IF($F82=4019,G82,0)+IF($F82=4119,G82,0)+IF($F82=4129,G82,0)+IF($F82=4040,G82,0)+IF($F82=4047,G82,0)+IF($F82=4049,G82,0)</f>
        <v>0</v>
      </c>
      <c r="M82" s="195">
        <f>IF($F82=4170,H82,0)+IF($F82=4177,H82,0)+IF($F82=4179,H82,0)+IF($F82=4010,H82,0)+IF($F82=4110,H82,0)+IF($F82=4120,H82,0)+IF($F82=4017,H82,0)+IF($F82=4117,H82,0)+IF($F82=4127,H82,0)+IF($F82=4019,H82,0)+IF($F82=4119,H82,0)+IF($F82=4129,H82,0)+IF($F82=4040,H82,0)+IF($F82=4047,H82,0)+IF($F82=4049,H82,0)</f>
        <v>0</v>
      </c>
      <c r="N82" s="195">
        <f>IF($B82=75022,G82,0)+IF($B82=75023,G82,0)</f>
        <v>0</v>
      </c>
      <c r="O82" s="195">
        <f>IF($B82=75022,H82,0)+IF($B82=75023,H82,0)</f>
        <v>0</v>
      </c>
    </row>
    <row r="83" spans="1:15" ht="12.75">
      <c r="A83" s="190"/>
      <c r="B83" s="191"/>
      <c r="C83" s="191"/>
      <c r="D83" s="192"/>
      <c r="E83" s="192"/>
      <c r="F83" s="193"/>
      <c r="G83" s="192"/>
      <c r="H83" s="192"/>
      <c r="I83" s="196"/>
      <c r="L83" s="195">
        <f>IF($F83=4170,G83,0)+IF($F83=4177,G83,0)+IF($F83=4179,G83,0)+IF($F83=4010,G83,0)+IF($F83=4110,G83,0)+IF($F83=4120,G83,0)+IF($F83=4017,G83,0)+IF($F83=4117,G83,0)+IF($F83=4127,G83,0)+IF($F83=4019,G83,0)+IF($F83=4119,G83,0)+IF($F83=4129,G83,0)+IF($F83=4040,G83,0)+IF($F83=4047,G83,0)+IF($F83=4049,G83,0)</f>
        <v>0</v>
      </c>
      <c r="M83" s="195">
        <f>IF($F83=4170,H83,0)+IF($F83=4177,H83,0)+IF($F83=4179,H83,0)+IF($F83=4010,H83,0)+IF($F83=4110,H83,0)+IF($F83=4120,H83,0)+IF($F83=4017,H83,0)+IF($F83=4117,H83,0)+IF($F83=4127,H83,0)+IF($F83=4019,H83,0)+IF($F83=4119,H83,0)+IF($F83=4129,H83,0)+IF($F83=4040,H83,0)+IF($F83=4047,H83,0)+IF($F83=4049,H83,0)</f>
        <v>0</v>
      </c>
      <c r="N83" s="195">
        <f>IF($B83=75022,G83,0)+IF($B83=75023,G83,0)</f>
        <v>0</v>
      </c>
      <c r="O83" s="195">
        <f>IF($B83=75022,H83,0)+IF($B83=75023,H83,0)</f>
        <v>0</v>
      </c>
    </row>
    <row r="84" spans="1:8" ht="12.75">
      <c r="A84" s="206" t="s">
        <v>288</v>
      </c>
      <c r="B84" s="207"/>
      <c r="C84" s="207"/>
      <c r="D84" s="208">
        <f>SUM(D4:D83)</f>
        <v>2667</v>
      </c>
      <c r="E84" s="208">
        <f>SUM(E4:E83)</f>
        <v>3428</v>
      </c>
      <c r="F84" s="209"/>
      <c r="G84" s="208">
        <f>SUM(G4:G83)</f>
        <v>271813</v>
      </c>
      <c r="H84" s="208">
        <f>SUM(H4:H83)</f>
        <v>272574</v>
      </c>
    </row>
    <row r="85" spans="1:8" ht="15" customHeight="1">
      <c r="A85" s="210" t="s">
        <v>289</v>
      </c>
      <c r="B85" s="210" t="s">
        <v>290</v>
      </c>
      <c r="C85" s="211"/>
      <c r="D85" s="212">
        <f>SUM(E84-D84)</f>
        <v>761</v>
      </c>
      <c r="E85" s="212"/>
      <c r="F85" s="211"/>
      <c r="G85" s="212">
        <f>SUM(H84-G84)</f>
        <v>761</v>
      </c>
      <c r="H85" s="212"/>
    </row>
    <row r="86" spans="1:8" ht="12.75">
      <c r="A86" s="210"/>
      <c r="B86" s="210"/>
      <c r="C86" s="211"/>
      <c r="D86" s="212"/>
      <c r="E86" s="212"/>
      <c r="F86" s="211"/>
      <c r="G86" s="212"/>
      <c r="H86" s="212"/>
    </row>
    <row r="87" spans="1:4" ht="12.75">
      <c r="A87" s="213" t="s">
        <v>291</v>
      </c>
      <c r="B87" s="213"/>
      <c r="C87" s="213"/>
      <c r="D87" s="214">
        <f>SUM(G85-D85)</f>
        <v>0</v>
      </c>
    </row>
    <row r="88" spans="2:15" ht="15" customHeight="1">
      <c r="B88" s="215" t="s">
        <v>292</v>
      </c>
      <c r="C88" s="215"/>
      <c r="D88" s="215"/>
      <c r="E88" s="216" t="s">
        <v>293</v>
      </c>
      <c r="F88" s="216"/>
      <c r="G88" s="217">
        <f>L88</f>
        <v>10150</v>
      </c>
      <c r="H88" s="218">
        <f>M88</f>
        <v>7911</v>
      </c>
      <c r="L88" s="219">
        <f>SUM(L4:L83)</f>
        <v>10150</v>
      </c>
      <c r="M88" s="219">
        <f>SUM(M4:M83)</f>
        <v>7911</v>
      </c>
      <c r="N88" s="219">
        <f>SUM(N4:N83)</f>
        <v>0</v>
      </c>
      <c r="O88" s="219">
        <f>SUM(O4:O83)</f>
        <v>0</v>
      </c>
    </row>
    <row r="89" spans="2:8" ht="15" customHeight="1">
      <c r="B89" s="193" t="s">
        <v>294</v>
      </c>
      <c r="C89" s="193"/>
      <c r="D89" s="220" t="str">
        <f>C98</f>
        <v>√</v>
      </c>
      <c r="E89" s="221" t="s">
        <v>295</v>
      </c>
      <c r="F89" s="221"/>
      <c r="G89" s="222">
        <f>SUM(H88-G88)</f>
        <v>-2239</v>
      </c>
      <c r="H89" s="222"/>
    </row>
    <row r="90" spans="2:6" ht="12.75" customHeight="1">
      <c r="B90" s="193" t="s">
        <v>296</v>
      </c>
      <c r="C90" s="193"/>
      <c r="D90" s="223" t="str">
        <f>C98</f>
        <v>√</v>
      </c>
      <c r="E90" s="224" t="s">
        <v>297</v>
      </c>
      <c r="F90" s="224"/>
    </row>
    <row r="91" spans="2:8" ht="14.25" customHeight="1">
      <c r="B91" s="225" t="s">
        <v>298</v>
      </c>
      <c r="C91" s="225"/>
      <c r="D91" s="226"/>
      <c r="E91" s="216" t="s">
        <v>299</v>
      </c>
      <c r="F91" s="216"/>
      <c r="G91" s="217">
        <f>N88</f>
        <v>0</v>
      </c>
      <c r="H91" s="217">
        <f>O88</f>
        <v>0</v>
      </c>
    </row>
    <row r="92" spans="2:8" ht="12.75" customHeight="1">
      <c r="B92" s="225" t="s">
        <v>300</v>
      </c>
      <c r="C92" s="225"/>
      <c r="D92" s="226"/>
      <c r="E92" s="221" t="s">
        <v>295</v>
      </c>
      <c r="F92" s="221"/>
      <c r="G92" s="222">
        <f>SUM(H91-G91)</f>
        <v>0</v>
      </c>
      <c r="H92" s="222"/>
    </row>
    <row r="93" spans="1:8" ht="23.25" customHeight="1">
      <c r="A93" s="227" t="s">
        <v>301</v>
      </c>
      <c r="B93" s="225" t="s">
        <v>302</v>
      </c>
      <c r="C93" s="225"/>
      <c r="D93" s="226"/>
      <c r="E93" s="228" t="s">
        <v>303</v>
      </c>
      <c r="F93" s="228"/>
      <c r="G93" s="139"/>
      <c r="H93" s="139"/>
    </row>
    <row r="94" spans="1:8" ht="14.25" customHeight="1">
      <c r="A94" s="229" t="s">
        <v>304</v>
      </c>
      <c r="B94" s="225" t="s">
        <v>305</v>
      </c>
      <c r="C94" s="225"/>
      <c r="D94" s="226">
        <f>C98</f>
        <v>0</v>
      </c>
      <c r="E94" s="230"/>
      <c r="F94" s="230"/>
      <c r="G94" s="139"/>
      <c r="H94" s="139"/>
    </row>
    <row r="95" spans="1:8" ht="34.5" customHeight="1">
      <c r="A95" s="227" t="s">
        <v>306</v>
      </c>
      <c r="B95" s="225" t="s">
        <v>307</v>
      </c>
      <c r="C95" s="225"/>
      <c r="D95" s="226"/>
      <c r="E95" s="230"/>
      <c r="F95" s="230"/>
      <c r="G95" s="139"/>
      <c r="H95" s="139"/>
    </row>
    <row r="96" spans="2:8" ht="13.5" customHeight="1">
      <c r="B96" s="225"/>
      <c r="C96" s="225"/>
      <c r="D96" s="226"/>
      <c r="E96" s="230"/>
      <c r="F96" s="230"/>
      <c r="G96" s="139"/>
      <c r="H96" s="139"/>
    </row>
    <row r="97" spans="2:4" ht="12.75" customHeight="1">
      <c r="B97" s="225"/>
      <c r="C97" s="225"/>
      <c r="D97" s="225"/>
    </row>
    <row r="98" spans="3:8" ht="12.75" customHeight="1">
      <c r="C98" s="231" t="s">
        <v>308</v>
      </c>
      <c r="D98" s="232" t="s">
        <v>309</v>
      </c>
      <c r="E98" s="232"/>
      <c r="G98" s="232" t="s">
        <v>310</v>
      </c>
      <c r="H98" s="232"/>
    </row>
    <row r="99" spans="4:8" ht="12.75">
      <c r="D99" s="233">
        <v>0</v>
      </c>
      <c r="E99" s="233">
        <f>SUM(E19)</f>
        <v>0</v>
      </c>
      <c r="G99" s="233">
        <v>0</v>
      </c>
      <c r="H99" s="233">
        <v>0</v>
      </c>
    </row>
    <row r="100" spans="1:8" ht="24.75" customHeight="1">
      <c r="A100" s="234" t="s">
        <v>311</v>
      </c>
      <c r="B100" s="234"/>
      <c r="C100" s="234"/>
      <c r="D100" s="235">
        <f>SUM(E99-D99)</f>
        <v>0</v>
      </c>
      <c r="E100" s="235"/>
      <c r="F100" s="236"/>
      <c r="G100" s="235">
        <f>SUM(H99-G99)</f>
        <v>0</v>
      </c>
      <c r="H100" s="235"/>
    </row>
    <row r="102" spans="4:8" ht="12.75" customHeight="1">
      <c r="D102" s="232" t="s">
        <v>312</v>
      </c>
      <c r="E102" s="232"/>
      <c r="G102" s="232" t="s">
        <v>313</v>
      </c>
      <c r="H102" s="232"/>
    </row>
    <row r="103" spans="4:8" ht="12.75">
      <c r="D103" s="237">
        <f>SUM(D84-D99)</f>
        <v>2667</v>
      </c>
      <c r="E103" s="237">
        <f>SUM(E84-E99)</f>
        <v>3428</v>
      </c>
      <c r="G103" s="237">
        <f>SUM(G84-G99)</f>
        <v>271813</v>
      </c>
      <c r="H103" s="237">
        <f>SUM(H84-H99)</f>
        <v>272574</v>
      </c>
    </row>
    <row r="104" spans="1:8" ht="24.75" customHeight="1">
      <c r="A104" s="234" t="s">
        <v>311</v>
      </c>
      <c r="B104" s="234"/>
      <c r="C104" s="234"/>
      <c r="D104" s="235">
        <f>SUM(E103-D103)</f>
        <v>761</v>
      </c>
      <c r="E104" s="235"/>
      <c r="F104" s="236"/>
      <c r="G104" s="235">
        <f>SUM(H103-G103)</f>
        <v>761</v>
      </c>
      <c r="H104" s="235"/>
    </row>
    <row r="106" spans="2:8" ht="12.75" customHeight="1">
      <c r="B106" s="238" t="s">
        <v>314</v>
      </c>
      <c r="C106" s="238"/>
      <c r="D106" s="239">
        <f>SUM(D100+D104)</f>
        <v>761</v>
      </c>
      <c r="E106" s="239"/>
      <c r="F106" s="139"/>
      <c r="G106" s="239">
        <f>SUM(G100+G104)</f>
        <v>761</v>
      </c>
      <c r="H106" s="239"/>
    </row>
    <row r="107" ht="12.75">
      <c r="F107" s="195"/>
    </row>
    <row r="108" spans="1:8" ht="24.75" customHeight="1">
      <c r="A108" s="240" t="s">
        <v>315</v>
      </c>
      <c r="B108" s="240"/>
      <c r="C108" s="240"/>
      <c r="D108" s="241">
        <f>ABS(D100+D104)</f>
        <v>761</v>
      </c>
      <c r="E108" s="241"/>
      <c r="F108" s="139"/>
      <c r="G108" s="241">
        <f>ABS(G100+G104)</f>
        <v>761</v>
      </c>
      <c r="H108" s="241"/>
    </row>
    <row r="116" ht="12.75">
      <c r="B116" s="242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85:E85"/>
    <mergeCell ref="G85:H85"/>
    <mergeCell ref="A87:C87"/>
    <mergeCell ref="B88:D88"/>
    <mergeCell ref="E88:F88"/>
    <mergeCell ref="B89:C89"/>
    <mergeCell ref="E89:F89"/>
    <mergeCell ref="G89:H89"/>
    <mergeCell ref="B90:C90"/>
    <mergeCell ref="E90:F90"/>
    <mergeCell ref="B91:C91"/>
    <mergeCell ref="E91:F91"/>
    <mergeCell ref="B92:C92"/>
    <mergeCell ref="E92:F92"/>
    <mergeCell ref="G92:H92"/>
    <mergeCell ref="B93:C93"/>
    <mergeCell ref="E93:F93"/>
    <mergeCell ref="B94:C94"/>
    <mergeCell ref="B95:C95"/>
    <mergeCell ref="B96:C96"/>
    <mergeCell ref="B97:D97"/>
    <mergeCell ref="D98:E98"/>
    <mergeCell ref="G98:H98"/>
    <mergeCell ref="A100:C100"/>
    <mergeCell ref="D100:E100"/>
    <mergeCell ref="G100:H100"/>
    <mergeCell ref="D102:E102"/>
    <mergeCell ref="G102:H102"/>
    <mergeCell ref="A104:C104"/>
    <mergeCell ref="D104:E104"/>
    <mergeCell ref="G104:H104"/>
    <mergeCell ref="B106:C106"/>
    <mergeCell ref="D106:E106"/>
    <mergeCell ref="G106:H106"/>
    <mergeCell ref="A108:C108"/>
    <mergeCell ref="D108:E108"/>
    <mergeCell ref="G108:H108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244" t="s">
        <v>316</v>
      </c>
      <c r="X1" s="244"/>
    </row>
    <row r="2" spans="1:24" ht="27.75" customHeight="1">
      <c r="A2" s="243" t="s">
        <v>317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4"/>
      <c r="W2" s="244"/>
      <c r="X2" s="244"/>
    </row>
    <row r="3" spans="1:24" ht="12.75">
      <c r="A3" s="245"/>
      <c r="B3" s="246"/>
      <c r="C3" s="246"/>
      <c r="D3" s="246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 t="s">
        <v>318</v>
      </c>
    </row>
    <row r="4" spans="1:24" ht="15.75" customHeight="1">
      <c r="A4" s="248" t="s">
        <v>319</v>
      </c>
      <c r="B4" s="249" t="s">
        <v>320</v>
      </c>
      <c r="C4" s="250" t="s">
        <v>321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5.75" customHeight="1">
      <c r="A5" s="248"/>
      <c r="B5" s="249"/>
      <c r="C5" s="249"/>
      <c r="D5" s="249">
        <v>2012</v>
      </c>
      <c r="E5" s="249">
        <v>2013</v>
      </c>
      <c r="F5" s="249">
        <v>2014</v>
      </c>
      <c r="G5" s="249">
        <v>2015</v>
      </c>
      <c r="H5" s="249">
        <v>2016</v>
      </c>
      <c r="I5" s="249">
        <v>2017</v>
      </c>
      <c r="J5" s="249">
        <v>2018</v>
      </c>
      <c r="K5" s="249">
        <v>2019</v>
      </c>
      <c r="L5" s="249">
        <v>2020</v>
      </c>
      <c r="M5" s="249">
        <v>2021</v>
      </c>
      <c r="N5" s="249">
        <v>2022</v>
      </c>
      <c r="O5" s="249">
        <v>2023</v>
      </c>
      <c r="P5" s="249">
        <v>2024</v>
      </c>
      <c r="Q5" s="249">
        <v>2025</v>
      </c>
      <c r="R5" s="249">
        <v>2026</v>
      </c>
      <c r="S5" s="249">
        <v>2027</v>
      </c>
      <c r="T5" s="249">
        <v>2028</v>
      </c>
      <c r="U5" s="249">
        <v>2029</v>
      </c>
      <c r="V5" s="249">
        <v>2030</v>
      </c>
      <c r="W5" s="249">
        <v>2031</v>
      </c>
      <c r="X5" s="249">
        <v>2032</v>
      </c>
    </row>
    <row r="6" spans="1:24" ht="15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7" spans="1:24" ht="15.75" customHeight="1">
      <c r="A7" s="248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</row>
    <row r="8" spans="1:24" ht="15.75" customHeight="1">
      <c r="A8" s="248"/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</row>
    <row r="9" spans="1:24" ht="7.5" customHeight="1">
      <c r="A9" s="251">
        <v>1</v>
      </c>
      <c r="B9" s="251">
        <v>2</v>
      </c>
      <c r="C9" s="251">
        <v>3</v>
      </c>
      <c r="D9" s="251">
        <v>5</v>
      </c>
      <c r="E9" s="251">
        <v>6</v>
      </c>
      <c r="F9" s="251">
        <v>6</v>
      </c>
      <c r="G9" s="251">
        <v>6</v>
      </c>
      <c r="H9" s="251">
        <v>6</v>
      </c>
      <c r="I9" s="251">
        <v>6</v>
      </c>
      <c r="J9" s="251">
        <v>6</v>
      </c>
      <c r="K9" s="251">
        <v>6</v>
      </c>
      <c r="L9" s="251">
        <v>6</v>
      </c>
      <c r="M9" s="251">
        <v>6</v>
      </c>
      <c r="N9" s="251">
        <v>6</v>
      </c>
      <c r="O9" s="251">
        <v>6</v>
      </c>
      <c r="P9" s="251">
        <v>6</v>
      </c>
      <c r="Q9" s="251">
        <v>6</v>
      </c>
      <c r="R9" s="251">
        <v>6</v>
      </c>
      <c r="S9" s="251">
        <v>6</v>
      </c>
      <c r="T9" s="251">
        <v>6</v>
      </c>
      <c r="U9" s="251">
        <v>6</v>
      </c>
      <c r="V9" s="251">
        <v>6</v>
      </c>
      <c r="W9" s="251">
        <v>6</v>
      </c>
      <c r="X9" s="251">
        <v>6</v>
      </c>
    </row>
    <row r="10" spans="1:24" ht="19.5" customHeight="1">
      <c r="A10" s="252" t="s">
        <v>322</v>
      </c>
      <c r="B10" s="253" t="s">
        <v>323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4">
        <v>0</v>
      </c>
    </row>
    <row r="11" spans="1:24" ht="19.5" customHeight="1">
      <c r="A11" s="252" t="s">
        <v>324</v>
      </c>
      <c r="B11" s="255" t="s">
        <v>325</v>
      </c>
      <c r="C11" s="256">
        <f>zał2!E46</f>
        <v>40534439.7</v>
      </c>
      <c r="D11" s="256">
        <f>zał2!F46</f>
        <v>41627126.7</v>
      </c>
      <c r="E11" s="256">
        <f>zał2!G46</f>
        <v>35772301.2655</v>
      </c>
      <c r="F11" s="256">
        <f>zał2!H46</f>
        <v>29917475.031000003</v>
      </c>
      <c r="G11" s="256">
        <f>zał2!I46</f>
        <v>26464512.796500005</v>
      </c>
      <c r="H11" s="256">
        <f>zał2!J46</f>
        <v>23011550.562000006</v>
      </c>
      <c r="I11" s="256">
        <f>zał2!K46</f>
        <v>19558588.327500008</v>
      </c>
      <c r="J11" s="256">
        <f>zał2!L46</f>
        <v>16105626.093000008</v>
      </c>
      <c r="K11" s="256">
        <f>zał2!M46</f>
        <v>12652654.858500008</v>
      </c>
      <c r="L11" s="256">
        <f>zał2!N46</f>
        <v>10214636.734000009</v>
      </c>
      <c r="M11" s="256">
        <f>zał2!O46</f>
        <v>9324097.339500008</v>
      </c>
      <c r="N11" s="256">
        <f>zał2!P46</f>
        <v>8433557.945000008</v>
      </c>
      <c r="O11" s="256">
        <f>zał2!Q46</f>
        <v>7543018.550500007</v>
      </c>
      <c r="P11" s="256">
        <f>zał2!R46</f>
        <v>6652479.156000007</v>
      </c>
      <c r="Q11" s="256">
        <f>zał2!S46</f>
        <v>5761939.761500007</v>
      </c>
      <c r="R11" s="256">
        <f>zał2!T46</f>
        <v>4871400.367000006</v>
      </c>
      <c r="S11" s="256">
        <f>zał2!U46</f>
        <v>3980860.972500006</v>
      </c>
      <c r="T11" s="256">
        <f>zał2!V46</f>
        <v>3090321.5780000063</v>
      </c>
      <c r="U11" s="256">
        <f>zał2!W46</f>
        <v>2199782.1835000063</v>
      </c>
      <c r="V11" s="256">
        <f>zał2!X46</f>
        <v>1309242.7890000064</v>
      </c>
      <c r="W11" s="256">
        <f>zał2!Y46</f>
        <v>418691.39450000634</v>
      </c>
      <c r="X11" s="256">
        <f>zał2!Z46</f>
        <v>0</v>
      </c>
    </row>
    <row r="12" spans="1:24" ht="19.5" customHeight="1">
      <c r="A12" s="252" t="s">
        <v>326</v>
      </c>
      <c r="B12" s="255" t="s">
        <v>327</v>
      </c>
      <c r="C12" s="254"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4">
        <v>0</v>
      </c>
    </row>
    <row r="13" spans="1:24" ht="19.5" customHeight="1">
      <c r="A13" s="252" t="s">
        <v>328</v>
      </c>
      <c r="B13" s="255" t="s">
        <v>329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4">
        <v>0</v>
      </c>
    </row>
    <row r="14" spans="1:24" ht="19.5" customHeight="1">
      <c r="A14" s="252" t="s">
        <v>330</v>
      </c>
      <c r="B14" s="255" t="s">
        <v>331</v>
      </c>
      <c r="C14" s="254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</row>
    <row r="15" spans="1:24" ht="19.5" customHeight="1">
      <c r="A15" s="252" t="s">
        <v>332</v>
      </c>
      <c r="B15" s="255" t="s">
        <v>333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4">
        <v>0</v>
      </c>
    </row>
    <row r="16" spans="1:24" ht="19.5" customHeight="1">
      <c r="A16" s="252" t="s">
        <v>334</v>
      </c>
      <c r="B16" s="255" t="s">
        <v>335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4">
        <v>0</v>
      </c>
    </row>
    <row r="17" spans="1:24" ht="19.5" customHeight="1">
      <c r="A17" s="252" t="s">
        <v>336</v>
      </c>
      <c r="B17" s="257" t="s">
        <v>337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4">
        <v>0</v>
      </c>
    </row>
    <row r="18" spans="1:24" ht="19.5" customHeight="1">
      <c r="A18" s="252" t="s">
        <v>338</v>
      </c>
      <c r="B18" s="257" t="s">
        <v>339</v>
      </c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4">
        <v>0</v>
      </c>
    </row>
    <row r="19" spans="1:24" ht="19.5" customHeight="1">
      <c r="A19" s="252" t="s">
        <v>340</v>
      </c>
      <c r="B19" s="257" t="s">
        <v>341</v>
      </c>
      <c r="C19" s="254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4">
        <v>0</v>
      </c>
    </row>
    <row r="20" spans="1:24" ht="19.5" customHeight="1">
      <c r="A20" s="252" t="s">
        <v>342</v>
      </c>
      <c r="B20" s="257" t="s">
        <v>343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4">
        <v>0</v>
      </c>
    </row>
    <row r="21" spans="1:24" ht="19.5" customHeight="1">
      <c r="A21" s="252" t="s">
        <v>344</v>
      </c>
      <c r="B21" s="255" t="s">
        <v>345</v>
      </c>
      <c r="C21" s="256">
        <f>zał2!E8</f>
        <v>72674133.27</v>
      </c>
      <c r="D21" s="256">
        <f>zał2!F8</f>
        <v>91251414.13</v>
      </c>
      <c r="E21" s="256">
        <f>zał2!G8</f>
        <v>71039355.80503</v>
      </c>
      <c r="F21" s="256">
        <f>zał2!H8</f>
        <v>68489214.63098593</v>
      </c>
      <c r="G21" s="256">
        <f>zał2!I8</f>
        <v>70608739.6005465</v>
      </c>
      <c r="H21" s="256">
        <f>zał2!J8</f>
        <v>72793860.62364343</v>
      </c>
      <c r="I21" s="256">
        <f>zał2!K8</f>
        <v>75046607.90132077</v>
      </c>
      <c r="J21" s="256">
        <f>zał2!L8</f>
        <v>77369074.47255644</v>
      </c>
      <c r="K21" s="256">
        <f>zał2!M8</f>
        <v>79763418.15928927</v>
      </c>
      <c r="L21" s="256">
        <f>zał2!N8</f>
        <v>82231863.57165332</v>
      </c>
      <c r="M21" s="256">
        <f>zał2!O8</f>
        <v>84776704.17528345</v>
      </c>
      <c r="N21" s="256">
        <f>zał2!P8</f>
        <v>87400304.42261335</v>
      </c>
      <c r="O21" s="256">
        <f>zał2!Q8</f>
        <v>90105101.95014738</v>
      </c>
      <c r="P21" s="256">
        <f>zał2!R8</f>
        <v>92893609.84374794</v>
      </c>
      <c r="Q21" s="256">
        <f>zał2!S8</f>
        <v>95768418.97404452</v>
      </c>
      <c r="R21" s="256">
        <f>zał2!T8</f>
        <v>98732200.4041345</v>
      </c>
      <c r="S21" s="256">
        <f>zał2!U8</f>
        <v>101787707.8718141</v>
      </c>
      <c r="T21" s="256">
        <f>zał2!V8</f>
        <v>104937780.34864631</v>
      </c>
      <c r="U21" s="256">
        <f>zał2!W8</f>
        <v>108185344.67824449</v>
      </c>
      <c r="V21" s="256">
        <f>zał2!X8</f>
        <v>111533418.29622394</v>
      </c>
      <c r="W21" s="256">
        <f>zał2!Y8</f>
        <v>114985112.03434935</v>
      </c>
      <c r="X21" s="256">
        <f>zał2!Z8</f>
        <v>118543633.01148494</v>
      </c>
    </row>
    <row r="22" spans="1:24" ht="19.5" customHeight="1">
      <c r="A22" s="252" t="s">
        <v>346</v>
      </c>
      <c r="B22" s="253" t="s">
        <v>347</v>
      </c>
      <c r="C22" s="256">
        <f>SUM(C10:C14)</f>
        <v>40534439.7</v>
      </c>
      <c r="D22" s="256">
        <f>SUM(D10:D14)</f>
        <v>41627126.7</v>
      </c>
      <c r="E22" s="256">
        <f>SUM(E10:E14)</f>
        <v>35772301.2655</v>
      </c>
      <c r="F22" s="256">
        <f>SUM(F10:F14)</f>
        <v>29917475.031000003</v>
      </c>
      <c r="G22" s="256">
        <f>SUM(G10:G14)</f>
        <v>26464512.796500005</v>
      </c>
      <c r="H22" s="256">
        <f>SUM(H10:H14)</f>
        <v>23011550.562000006</v>
      </c>
      <c r="I22" s="256">
        <f>SUM(I10:I14)</f>
        <v>19558588.327500008</v>
      </c>
      <c r="J22" s="256">
        <f>SUM(J10:J14)</f>
        <v>16105626.093000008</v>
      </c>
      <c r="K22" s="256">
        <f>SUM(K10:K14)</f>
        <v>12652654.858500008</v>
      </c>
      <c r="L22" s="256">
        <f>SUM(L10:L14)</f>
        <v>10214636.734000009</v>
      </c>
      <c r="M22" s="256">
        <f>SUM(M10:M14)</f>
        <v>9324097.339500008</v>
      </c>
      <c r="N22" s="256">
        <f>SUM(N10:N14)</f>
        <v>8433557.945000008</v>
      </c>
      <c r="O22" s="256">
        <f>SUM(O10:O14)</f>
        <v>7543018.550500007</v>
      </c>
      <c r="P22" s="256">
        <f>SUM(P10:P14)</f>
        <v>6652479.156000007</v>
      </c>
      <c r="Q22" s="256">
        <f>SUM(Q10:Q14)</f>
        <v>5761939.761500007</v>
      </c>
      <c r="R22" s="256">
        <f>SUM(R10:R14)</f>
        <v>4871400.367000006</v>
      </c>
      <c r="S22" s="256">
        <f>SUM(S10:S14)</f>
        <v>3980860.972500006</v>
      </c>
      <c r="T22" s="256">
        <f>SUM(T10:T14)</f>
        <v>3090321.5780000063</v>
      </c>
      <c r="U22" s="256">
        <f>SUM(U10:U14)</f>
        <v>2199782.1835000063</v>
      </c>
      <c r="V22" s="256">
        <f>SUM(V10:V14)</f>
        <v>1309242.7890000064</v>
      </c>
      <c r="W22" s="256">
        <f>SUM(W10:W14)</f>
        <v>418691.39450000634</v>
      </c>
      <c r="X22" s="256">
        <f>SUM(X10:X14)</f>
        <v>0</v>
      </c>
    </row>
    <row r="23" spans="1:24" ht="19.5" customHeight="1">
      <c r="A23" s="252" t="s">
        <v>348</v>
      </c>
      <c r="B23" s="255" t="s">
        <v>349</v>
      </c>
      <c r="C23" s="258">
        <f>SUM(C22/C21)</f>
        <v>0.5577560801365992</v>
      </c>
      <c r="D23" s="258">
        <f>SUM(D22/D21)</f>
        <v>0.456180620288213</v>
      </c>
      <c r="E23" s="258">
        <f>SUM(E22/E21)</f>
        <v>0.5035561043610578</v>
      </c>
      <c r="F23" s="258">
        <f>SUM(F22/F21)</f>
        <v>0.43682023793370706</v>
      </c>
      <c r="G23" s="258">
        <f>SUM(G22/G21)</f>
        <v>0.3748050587819185</v>
      </c>
      <c r="H23" s="258">
        <f>SUM(H22/H21)</f>
        <v>0.31611938650944227</v>
      </c>
      <c r="I23" s="258">
        <f>SUM(I22/I21)</f>
        <v>0.26061921883554967</v>
      </c>
      <c r="J23" s="258">
        <f>SUM(J22/J21)</f>
        <v>0.2081661982232039</v>
      </c>
      <c r="K23" s="258">
        <f>SUM(K22/K21)</f>
        <v>0.15862728993424507</v>
      </c>
      <c r="L23" s="258">
        <f>SUM(L22/L21)</f>
        <v>0.12421750268494659</v>
      </c>
      <c r="M23" s="258">
        <f>SUM(M22/M21)</f>
        <v>0.10998419235809875</v>
      </c>
      <c r="N23" s="258">
        <f>SUM(N22/N21)</f>
        <v>0.09649346190169525</v>
      </c>
      <c r="O23" s="258">
        <f>SUM(O22/O21)</f>
        <v>0.08371355658277095</v>
      </c>
      <c r="P23" s="258">
        <f>SUM(P22/P21)</f>
        <v>0.07161395888468362</v>
      </c>
      <c r="Q23" s="258">
        <f>SUM(Q22/Q21)</f>
        <v>0.06016534284711986</v>
      </c>
      <c r="R23" s="258">
        <f>SUM(R22/R21)</f>
        <v>0.04933953003235216</v>
      </c>
      <c r="S23" s="258">
        <f>SUM(S22/S21)</f>
        <v>0.039109447061262896</v>
      </c>
      <c r="T23" s="258">
        <f>SUM(T22/T21)</f>
        <v>0.029449084664576394</v>
      </c>
      <c r="U23" s="258">
        <f>SUM(U22/U21)</f>
        <v>0.020333458196601477</v>
      </c>
      <c r="V23" s="258">
        <f>SUM(V22/V21)</f>
        <v>0.011738569560584623</v>
      </c>
      <c r="W23" s="258">
        <f>SUM(W22/W21)</f>
        <v>0.0036412661351752323</v>
      </c>
      <c r="X23" s="258">
        <f>SUM(X22/X21)</f>
        <v>0</v>
      </c>
    </row>
    <row r="24" spans="1:24" ht="12.7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ht="12.7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 ht="12.7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</row>
    <row r="27" spans="1:24" ht="12.7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</row>
    <row r="28" spans="1:24" ht="12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</row>
    <row r="29" spans="1:24" ht="12.7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</row>
    <row r="30" spans="1:24" ht="12.7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6" spans="2:34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2:34" ht="12.75"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2:34" ht="12.75"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2:34" ht="12.75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2:34" ht="12.75">
      <c r="B40" s="153"/>
      <c r="C40" s="260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2:34" ht="12.75">
      <c r="B41" s="153"/>
      <c r="C41" s="260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2:34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9" customWidth="1"/>
    <col min="2" max="2" width="23.7109375" style="259" customWidth="1"/>
    <col min="3" max="3" width="12.140625" style="259" customWidth="1"/>
    <col min="4" max="5" width="12.7109375" style="259" customWidth="1"/>
    <col min="6" max="24" width="12.57421875" style="259" customWidth="1"/>
    <col min="25" max="254" width="11.57421875" style="259" customWidth="1"/>
    <col min="255" max="16384" width="11.57421875" style="0" customWidth="1"/>
  </cols>
  <sheetData>
    <row r="1" spans="1:24" ht="48" customHeight="1">
      <c r="A1" s="261"/>
      <c r="B1" s="261"/>
      <c r="C1" s="261"/>
      <c r="D1" s="261"/>
      <c r="E1" s="261"/>
      <c r="F1" s="261"/>
      <c r="G1" s="262"/>
      <c r="H1" s="262"/>
      <c r="I1" s="262"/>
      <c r="J1" s="262"/>
      <c r="K1"/>
      <c r="L1"/>
      <c r="M1" s="262"/>
      <c r="V1" s="263" t="s">
        <v>350</v>
      </c>
      <c r="W1" s="263"/>
      <c r="X1" s="263"/>
    </row>
    <row r="2" spans="1:24" ht="16.5" customHeight="1">
      <c r="A2" s="264"/>
      <c r="B2" s="264"/>
      <c r="C2" s="264"/>
      <c r="D2" s="264"/>
      <c r="E2" s="264"/>
      <c r="F2" s="265"/>
      <c r="G2" s="264"/>
      <c r="H2" s="264"/>
      <c r="I2" s="264"/>
      <c r="J2" s="264"/>
      <c r="K2" s="264"/>
      <c r="L2" s="264"/>
      <c r="M2"/>
      <c r="X2" s="266" t="s">
        <v>318</v>
      </c>
    </row>
    <row r="3" spans="1:24" ht="18.75" customHeight="1">
      <c r="A3" s="267" t="s">
        <v>319</v>
      </c>
      <c r="B3" s="267" t="s">
        <v>3</v>
      </c>
      <c r="C3" s="268" t="s">
        <v>321</v>
      </c>
      <c r="D3" s="267" t="s">
        <v>351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1:24" ht="53.25" customHeight="1">
      <c r="A4" s="267"/>
      <c r="B4" s="267"/>
      <c r="C4" s="268"/>
      <c r="D4" s="267">
        <v>2012</v>
      </c>
      <c r="E4" s="267">
        <v>2013</v>
      </c>
      <c r="F4" s="267">
        <v>2014</v>
      </c>
      <c r="G4" s="267">
        <v>2015</v>
      </c>
      <c r="H4" s="267">
        <v>2016</v>
      </c>
      <c r="I4" s="267">
        <v>2017</v>
      </c>
      <c r="J4" s="267">
        <v>2018</v>
      </c>
      <c r="K4" s="267">
        <v>2019</v>
      </c>
      <c r="L4" s="267">
        <v>2020</v>
      </c>
      <c r="M4" s="267">
        <v>2021</v>
      </c>
      <c r="N4" s="267">
        <v>2022</v>
      </c>
      <c r="O4" s="267">
        <v>2023</v>
      </c>
      <c r="P4" s="267">
        <v>2024</v>
      </c>
      <c r="Q4" s="267">
        <v>2025</v>
      </c>
      <c r="R4" s="267">
        <v>2026</v>
      </c>
      <c r="S4" s="267">
        <v>2027</v>
      </c>
      <c r="T4" s="267">
        <v>2028</v>
      </c>
      <c r="U4" s="267">
        <v>2029</v>
      </c>
      <c r="V4" s="267">
        <v>2030</v>
      </c>
      <c r="W4" s="267">
        <v>2031</v>
      </c>
      <c r="X4" s="267">
        <v>2032</v>
      </c>
    </row>
    <row r="5" spans="1:24" ht="12.75">
      <c r="A5" s="251">
        <v>1</v>
      </c>
      <c r="B5" s="251">
        <v>2</v>
      </c>
      <c r="C5" s="251">
        <v>3</v>
      </c>
      <c r="D5" s="251">
        <v>5</v>
      </c>
      <c r="E5" s="251">
        <v>6</v>
      </c>
      <c r="F5" s="251">
        <v>7</v>
      </c>
      <c r="G5" s="251">
        <v>8</v>
      </c>
      <c r="H5" s="251">
        <v>9</v>
      </c>
      <c r="I5" s="251">
        <v>10</v>
      </c>
      <c r="J5" s="251">
        <v>11</v>
      </c>
      <c r="K5" s="251">
        <v>12</v>
      </c>
      <c r="L5" s="251">
        <v>13</v>
      </c>
      <c r="M5" s="251">
        <v>14</v>
      </c>
      <c r="N5" s="251">
        <v>15</v>
      </c>
      <c r="O5" s="251">
        <v>16</v>
      </c>
      <c r="P5" s="251">
        <v>17</v>
      </c>
      <c r="Q5" s="251">
        <v>18</v>
      </c>
      <c r="R5" s="251">
        <v>19</v>
      </c>
      <c r="S5" s="251">
        <v>20</v>
      </c>
      <c r="T5" s="251">
        <v>21</v>
      </c>
      <c r="U5" s="251">
        <v>22</v>
      </c>
      <c r="V5" s="251">
        <v>23</v>
      </c>
      <c r="W5" s="251">
        <v>24</v>
      </c>
      <c r="X5" s="251">
        <v>25</v>
      </c>
    </row>
    <row r="6" spans="1:24" ht="12.75">
      <c r="A6" s="269" t="s">
        <v>352</v>
      </c>
      <c r="B6" s="270" t="s">
        <v>353</v>
      </c>
      <c r="C6" s="271">
        <f>SUM(C7,C11,C12)</f>
        <v>72674133.27</v>
      </c>
      <c r="D6" s="272">
        <f>zał2!F8</f>
        <v>91251414.13</v>
      </c>
      <c r="E6" s="272">
        <f>zał2!G8</f>
        <v>71039355.80503</v>
      </c>
      <c r="F6" s="272">
        <f>zał2!H8</f>
        <v>68489214.63098593</v>
      </c>
      <c r="G6" s="272">
        <f>zał2!I8</f>
        <v>70608739.6005465</v>
      </c>
      <c r="H6" s="272">
        <f>zał2!J8</f>
        <v>72793860.62364343</v>
      </c>
      <c r="I6" s="272">
        <f>zał2!K8</f>
        <v>75046607.90132077</v>
      </c>
      <c r="J6" s="272">
        <f>zał2!L8</f>
        <v>77369074.47255644</v>
      </c>
      <c r="K6" s="272">
        <f>zał2!M8</f>
        <v>79763418.15928927</v>
      </c>
      <c r="L6" s="272">
        <f>zał2!N8</f>
        <v>82231863.57165332</v>
      </c>
      <c r="M6" s="272">
        <f>zał2!O8</f>
        <v>84776704.17528345</v>
      </c>
      <c r="N6" s="272">
        <f>zał2!P8</f>
        <v>87400304.42261335</v>
      </c>
      <c r="O6" s="272">
        <f>zał2!Q8</f>
        <v>90105101.95014738</v>
      </c>
      <c r="P6" s="272">
        <f>zał2!R8</f>
        <v>92893609.84374794</v>
      </c>
      <c r="Q6" s="272">
        <f>zał2!S8</f>
        <v>95768418.97404452</v>
      </c>
      <c r="R6" s="272">
        <f>zał2!T8</f>
        <v>98732200.4041345</v>
      </c>
      <c r="S6" s="272">
        <f>zał2!U8</f>
        <v>101787707.8718141</v>
      </c>
      <c r="T6" s="272">
        <f>zał2!V8</f>
        <v>104937780.34864631</v>
      </c>
      <c r="U6" s="272">
        <f>zał2!W8</f>
        <v>108185344.67824449</v>
      </c>
      <c r="V6" s="272">
        <f>zał2!X8</f>
        <v>111533418.29622394</v>
      </c>
      <c r="W6" s="272">
        <f>zał2!Y8</f>
        <v>114985112.03434935</v>
      </c>
      <c r="X6" s="272">
        <f>zał2!Z8</f>
        <v>118543633.01148494</v>
      </c>
    </row>
    <row r="7" spans="1:24" ht="12.75">
      <c r="A7" s="269" t="s">
        <v>354</v>
      </c>
      <c r="B7" s="255" t="s">
        <v>355</v>
      </c>
      <c r="C7" s="273">
        <v>30707330.28</v>
      </c>
      <c r="D7" s="274">
        <v>0</v>
      </c>
      <c r="E7" s="272">
        <f>SUM(D7+0.05*D7)</f>
        <v>0</v>
      </c>
      <c r="F7" s="272">
        <f>SUM(E7+0.05*E7)</f>
        <v>0</v>
      </c>
      <c r="G7" s="272">
        <f>SUM(F7+0.03*F7)</f>
        <v>0</v>
      </c>
      <c r="H7" s="272">
        <f>SUM(G7+0.03*G7)</f>
        <v>0</v>
      </c>
      <c r="I7" s="272">
        <f>SUM(H7+0.03*H7)</f>
        <v>0</v>
      </c>
      <c r="J7" s="272">
        <f>SUM(I7+0.03*I7)</f>
        <v>0</v>
      </c>
      <c r="K7" s="272">
        <f>SUM(J7+0.03*J7)</f>
        <v>0</v>
      </c>
      <c r="L7" s="272">
        <f>SUM(K7+0.03*K7)</f>
        <v>0</v>
      </c>
      <c r="M7" s="272">
        <f>SUM(L7+0.03*L7)</f>
        <v>0</v>
      </c>
      <c r="N7" s="272">
        <f>SUM(M7+0.03*M7)</f>
        <v>0</v>
      </c>
      <c r="O7" s="272">
        <f>SUM(N7+0.03*N7)</f>
        <v>0</v>
      </c>
      <c r="P7" s="272">
        <f>SUM(O7+0.03*O7)</f>
        <v>0</v>
      </c>
      <c r="Q7" s="272">
        <f>SUM(P7+0.03*P7)</f>
        <v>0</v>
      </c>
      <c r="R7" s="272">
        <f>SUM(Q7+0.03*Q7)</f>
        <v>0</v>
      </c>
      <c r="S7" s="272">
        <f>SUM(R7+0.03*R7)</f>
        <v>0</v>
      </c>
      <c r="T7" s="272">
        <f>SUM(S7+0.03*S7)</f>
        <v>0</v>
      </c>
      <c r="U7" s="272">
        <f>SUM(T7+0.03*T7)</f>
        <v>0</v>
      </c>
      <c r="V7" s="272">
        <f>SUM(U7+0.03*U7)</f>
        <v>0</v>
      </c>
      <c r="W7" s="272">
        <f>SUM(V7+0.03*V7)</f>
        <v>0</v>
      </c>
      <c r="X7" s="272">
        <f>SUM(W7+0.03*W7)</f>
        <v>0</v>
      </c>
    </row>
    <row r="8" spans="1:24" ht="19.5" customHeight="1">
      <c r="A8" s="269" t="s">
        <v>322</v>
      </c>
      <c r="B8" s="255" t="s">
        <v>356</v>
      </c>
      <c r="C8" s="256">
        <f>SUM(C7-C9-C10)</f>
        <v>17553272.48</v>
      </c>
      <c r="D8" s="275">
        <f>SUM(D7-D9-D10)</f>
        <v>0</v>
      </c>
      <c r="E8" s="276">
        <f>SUM(D8+0.03*D8)</f>
        <v>0</v>
      </c>
      <c r="F8" s="276">
        <f>SUM(E8+0.03*E8)</f>
        <v>0</v>
      </c>
      <c r="G8" s="276">
        <f>SUM(F8+0.03*F8)</f>
        <v>0</v>
      </c>
      <c r="H8" s="276">
        <f>SUM(G8+0.03*G8)</f>
        <v>0</v>
      </c>
      <c r="I8" s="276">
        <f>SUM(H8+0.03*H8)</f>
        <v>0</v>
      </c>
      <c r="J8" s="276">
        <f>SUM(I8+0.03*I8)</f>
        <v>0</v>
      </c>
      <c r="K8" s="276">
        <f>SUM(J8+0.03*J8)</f>
        <v>0</v>
      </c>
      <c r="L8" s="276">
        <f>SUM(K8+0.03*K8)</f>
        <v>0</v>
      </c>
      <c r="M8" s="276">
        <f>SUM(L8+0.03*L8)</f>
        <v>0</v>
      </c>
      <c r="N8" s="276">
        <f>SUM(M8+0.03*M8)</f>
        <v>0</v>
      </c>
      <c r="O8" s="276">
        <f>SUM(N8+0.03*N8)</f>
        <v>0</v>
      </c>
      <c r="P8" s="276">
        <f>SUM(O8+0.03*O8)</f>
        <v>0</v>
      </c>
      <c r="Q8" s="276">
        <f>SUM(P8+0.03*P8)</f>
        <v>0</v>
      </c>
      <c r="R8" s="276">
        <f>SUM(Q8+0.03*Q8)</f>
        <v>0</v>
      </c>
      <c r="S8" s="276">
        <f>SUM(R8+0.03*R8)</f>
        <v>0</v>
      </c>
      <c r="T8" s="276">
        <f>SUM(S8+0.03*S8)</f>
        <v>0</v>
      </c>
      <c r="U8" s="276">
        <f>SUM(T8+0.03*T8)</f>
        <v>0</v>
      </c>
      <c r="V8" s="276">
        <f>SUM(U8+0.03*U8)</f>
        <v>0</v>
      </c>
      <c r="W8" s="276">
        <f>SUM(V8+0.03*V8)</f>
        <v>0</v>
      </c>
      <c r="X8" s="276">
        <f>SUM(W8+0.03*W8)</f>
        <v>0</v>
      </c>
    </row>
    <row r="9" spans="1:24" ht="20.25" customHeight="1">
      <c r="A9" s="269" t="s">
        <v>324</v>
      </c>
      <c r="B9" s="255" t="s">
        <v>357</v>
      </c>
      <c r="C9" s="66">
        <v>6254896.34</v>
      </c>
      <c r="D9" s="274">
        <v>0</v>
      </c>
      <c r="E9" s="276">
        <f>zał2!G11+2140684</f>
        <v>8140684</v>
      </c>
      <c r="F9" s="276">
        <f>zał2!H11+2140684</f>
        <v>3640684</v>
      </c>
      <c r="G9" s="276">
        <f>zał2!I11+2140684</f>
        <v>3685684</v>
      </c>
      <c r="H9" s="276">
        <f>zał2!J11+2140684</f>
        <v>3732034</v>
      </c>
      <c r="I9" s="276">
        <f>zał2!K11+2140684</f>
        <v>3779774.5</v>
      </c>
      <c r="J9" s="276">
        <f>zał2!L11+2140684</f>
        <v>3828947.215</v>
      </c>
      <c r="K9" s="276">
        <f>zał2!M11+2140684</f>
        <v>3879595.11145</v>
      </c>
      <c r="L9" s="276">
        <f>zał2!N11+2140684</f>
        <v>3931762.4447935</v>
      </c>
      <c r="M9" s="276">
        <f>zał2!O11+2140684</f>
        <v>3985494.7981373053</v>
      </c>
      <c r="N9" s="276">
        <f>zał2!P11+2140684</f>
        <v>4040839.1220814246</v>
      </c>
      <c r="O9" s="276">
        <f>zał2!Q11+2140684</f>
        <v>4097843.7757438673</v>
      </c>
      <c r="P9" s="276">
        <f>zał2!R11+2140684</f>
        <v>4156558.5690161833</v>
      </c>
      <c r="Q9" s="276">
        <f>zał2!S11+2140684</f>
        <v>4217034.806086669</v>
      </c>
      <c r="R9" s="276">
        <f>zał2!T11+2140684</f>
        <v>4279325.330269269</v>
      </c>
      <c r="S9" s="276">
        <f>zał2!U11+2140684</f>
        <v>4343484.5701773465</v>
      </c>
      <c r="T9" s="276">
        <f>zał2!V11+2140684</f>
        <v>4409568.587282667</v>
      </c>
      <c r="U9" s="276">
        <f>zał2!W11+2140684</f>
        <v>4477635.124901148</v>
      </c>
      <c r="V9" s="276">
        <f>zał2!X11+2140684</f>
        <v>4547743.658648182</v>
      </c>
      <c r="W9" s="276">
        <f>zał2!Y11+2140684</f>
        <v>4619955.448407628</v>
      </c>
      <c r="X9" s="276">
        <f>zał2!Z11+2140684</f>
        <v>4694333.591859857</v>
      </c>
    </row>
    <row r="10" spans="1:24" ht="19.5" customHeight="1">
      <c r="A10" s="269" t="s">
        <v>326</v>
      </c>
      <c r="B10" s="255" t="s">
        <v>358</v>
      </c>
      <c r="C10" s="273">
        <v>6899161.46</v>
      </c>
      <c r="D10" s="274">
        <v>0</v>
      </c>
      <c r="E10" s="276">
        <f>SUM(D10+0.04*D10)</f>
        <v>0</v>
      </c>
      <c r="F10" s="276">
        <f>SUM(E10+0.04*E10)</f>
        <v>0</v>
      </c>
      <c r="G10" s="276">
        <f>SUM(F10+0.04*F10)</f>
        <v>0</v>
      </c>
      <c r="H10" s="276">
        <f>SUM(G10+0.04*G10)</f>
        <v>0</v>
      </c>
      <c r="I10" s="276">
        <f>SUM(H10+0.04*H10)</f>
        <v>0</v>
      </c>
      <c r="J10" s="276">
        <f>SUM(I10+0.04*I10)</f>
        <v>0</v>
      </c>
      <c r="K10" s="276">
        <f>SUM(J10+0.04*J10)</f>
        <v>0</v>
      </c>
      <c r="L10" s="276">
        <f>SUM(K10+0.04*K10)</f>
        <v>0</v>
      </c>
      <c r="M10" s="276">
        <f>SUM(L10+0.04*L10)</f>
        <v>0</v>
      </c>
      <c r="N10" s="276">
        <f>SUM(M10+0.04*M10)</f>
        <v>0</v>
      </c>
      <c r="O10" s="276">
        <f>SUM(N10+0.04*N10)</f>
        <v>0</v>
      </c>
      <c r="P10" s="276">
        <f>SUM(O10+0.04*O10)</f>
        <v>0</v>
      </c>
      <c r="Q10" s="276">
        <f>SUM(P10+0.04*P10)</f>
        <v>0</v>
      </c>
      <c r="R10" s="276">
        <f>SUM(Q10+0.04*Q10)</f>
        <v>0</v>
      </c>
      <c r="S10" s="276">
        <f>SUM(R10+0.04*R10)</f>
        <v>0</v>
      </c>
      <c r="T10" s="276">
        <f>SUM(S10+0.04*S10)</f>
        <v>0</v>
      </c>
      <c r="U10" s="276">
        <f>SUM(T10+0.04*T10)</f>
        <v>0</v>
      </c>
      <c r="V10" s="276">
        <f>SUM(U10+0.04*U10)</f>
        <v>0</v>
      </c>
      <c r="W10" s="276">
        <f>SUM(V10+0.04*V10)</f>
        <v>0</v>
      </c>
      <c r="X10" s="276">
        <f>SUM(W10+0.04*W10)</f>
        <v>0</v>
      </c>
    </row>
    <row r="11" spans="1:24" ht="19.5" customHeight="1">
      <c r="A11" s="269" t="s">
        <v>359</v>
      </c>
      <c r="B11" s="255" t="s">
        <v>360</v>
      </c>
      <c r="C11" s="66">
        <v>22008845</v>
      </c>
      <c r="D11" s="274">
        <v>0</v>
      </c>
      <c r="E11" s="276">
        <f>SUM(D11+0.03*D11)</f>
        <v>0</v>
      </c>
      <c r="F11" s="276">
        <f>SUM(E11+0.03*E11)</f>
        <v>0</v>
      </c>
      <c r="G11" s="276">
        <f>SUM(F11+0.03*F11)</f>
        <v>0</v>
      </c>
      <c r="H11" s="276">
        <f>SUM(G11+0.03*G11)</f>
        <v>0</v>
      </c>
      <c r="I11" s="276">
        <f>SUM(H11+0.03*H11)</f>
        <v>0</v>
      </c>
      <c r="J11" s="276">
        <f>SUM(I11+0.03*I11)</f>
        <v>0</v>
      </c>
      <c r="K11" s="276">
        <f>SUM(J11+0.03*J11)</f>
        <v>0</v>
      </c>
      <c r="L11" s="276">
        <f>SUM(K11+0.03*K11)</f>
        <v>0</v>
      </c>
      <c r="M11" s="276">
        <f>SUM(L11+0.03*L11)</f>
        <v>0</v>
      </c>
      <c r="N11" s="276">
        <f>SUM(M11+0.03*M11)</f>
        <v>0</v>
      </c>
      <c r="O11" s="276">
        <f>SUM(N11+0.03*N11)</f>
        <v>0</v>
      </c>
      <c r="P11" s="276">
        <f>SUM(O11+0.03*O11)</f>
        <v>0</v>
      </c>
      <c r="Q11" s="276">
        <f>SUM(P11+0.03*P11)</f>
        <v>0</v>
      </c>
      <c r="R11" s="276">
        <f>SUM(Q11+0.03*Q11)</f>
        <v>0</v>
      </c>
      <c r="S11" s="276">
        <f>SUM(R11+0.03*R11)</f>
        <v>0</v>
      </c>
      <c r="T11" s="276">
        <f>SUM(S11+0.03*S11)</f>
        <v>0</v>
      </c>
      <c r="U11" s="276">
        <f>SUM(T11+0.03*T11)</f>
        <v>0</v>
      </c>
      <c r="V11" s="276">
        <f>SUM(U11+0.03*U11)</f>
        <v>0</v>
      </c>
      <c r="W11" s="276">
        <f>SUM(V11+0.03*V11)</f>
        <v>0</v>
      </c>
      <c r="X11" s="276">
        <f>SUM(W11+0.03*W11)</f>
        <v>0</v>
      </c>
    </row>
    <row r="12" spans="1:24" ht="19.5" customHeight="1">
      <c r="A12" s="269" t="s">
        <v>361</v>
      </c>
      <c r="B12" s="255" t="s">
        <v>362</v>
      </c>
      <c r="C12" s="66">
        <v>19957957.99</v>
      </c>
      <c r="D12" s="274">
        <v>0</v>
      </c>
      <c r="E12" s="276">
        <f>SUM(E6-E7-E11)</f>
        <v>71039355.80503</v>
      </c>
      <c r="F12" s="276">
        <f>SUM(F6-F7-F11)</f>
        <v>68489214.63098593</v>
      </c>
      <c r="G12" s="276">
        <f>SUM(G6-G7-G11)</f>
        <v>70608739.6005465</v>
      </c>
      <c r="H12" s="276">
        <f>SUM(H6-H7-H11)</f>
        <v>72793860.62364343</v>
      </c>
      <c r="I12" s="276">
        <f>SUM(I6-I7-I11)</f>
        <v>75046607.90132077</v>
      </c>
      <c r="J12" s="276">
        <f>SUM(J6-J7-J11)</f>
        <v>77369074.47255644</v>
      </c>
      <c r="K12" s="276">
        <f>SUM(K6-K7-K11)</f>
        <v>79763418.15928927</v>
      </c>
      <c r="L12" s="276">
        <f>SUM(L6-L7-L11)</f>
        <v>82231863.57165332</v>
      </c>
      <c r="M12" s="276">
        <f>SUM(M6-M7-M11)</f>
        <v>84776704.17528345</v>
      </c>
      <c r="N12" s="276">
        <f>SUM(N6-N7-N11)</f>
        <v>87400304.42261335</v>
      </c>
      <c r="O12" s="276">
        <f>SUM(O6-O7-O11)</f>
        <v>90105101.95014738</v>
      </c>
      <c r="P12" s="276">
        <f>SUM(P6-P7-P11)</f>
        <v>92893609.84374794</v>
      </c>
      <c r="Q12" s="276">
        <f>SUM(Q6-Q7-Q11)</f>
        <v>95768418.97404452</v>
      </c>
      <c r="R12" s="276">
        <f>SUM(R6-R7-R11)</f>
        <v>98732200.4041345</v>
      </c>
      <c r="S12" s="276">
        <f>SUM(S6-S7-S11)</f>
        <v>101787707.8718141</v>
      </c>
      <c r="T12" s="276">
        <f>SUM(T6-T7-T11)</f>
        <v>104937780.34864631</v>
      </c>
      <c r="U12" s="276">
        <f>SUM(U6-U7-U11)</f>
        <v>108185344.67824449</v>
      </c>
      <c r="V12" s="276">
        <f>SUM(V6-V7-V11)</f>
        <v>111533418.29622394</v>
      </c>
      <c r="W12" s="276">
        <f>SUM(W6-W7-W11)</f>
        <v>114985112.03434935</v>
      </c>
      <c r="X12" s="276">
        <f>SUM(X6-X7-X11)</f>
        <v>118543633.01148494</v>
      </c>
    </row>
    <row r="13" spans="1:24" ht="19.5" customHeight="1">
      <c r="A13" s="269" t="s">
        <v>363</v>
      </c>
      <c r="B13" s="277" t="s">
        <v>364</v>
      </c>
      <c r="C13" s="256">
        <f>zał2!E12</f>
        <v>80446015.95</v>
      </c>
      <c r="D13" s="275">
        <f>zał2!F12</f>
        <v>93055179.13</v>
      </c>
      <c r="E13" s="275">
        <f>zał2!G12</f>
        <v>56020472</v>
      </c>
      <c r="F13" s="275">
        <f>zał2!H12</f>
        <v>55064299</v>
      </c>
      <c r="G13" s="275">
        <f>zał2!I12</f>
        <v>56641227.97</v>
      </c>
      <c r="H13" s="275">
        <f>zał2!J12</f>
        <v>58340464.8091</v>
      </c>
      <c r="I13" s="275">
        <f>zał2!K12</f>
        <v>60090678.753373004</v>
      </c>
      <c r="J13" s="275">
        <f>zał2!L12</f>
        <v>61893399.115974195</v>
      </c>
      <c r="K13" s="275">
        <f>zał2!M12</f>
        <v>63750201.08945342</v>
      </c>
      <c r="L13" s="275">
        <f>zał2!N12</f>
        <v>65662707.122137025</v>
      </c>
      <c r="M13" s="275">
        <f>zał2!O12</f>
        <v>67632588.33580114</v>
      </c>
      <c r="N13" s="275">
        <f>zał2!P12</f>
        <v>69661565.98587517</v>
      </c>
      <c r="O13" s="275">
        <f>zał2!Q12</f>
        <v>71751412.96545142</v>
      </c>
      <c r="P13" s="275">
        <f>zał2!R12</f>
        <v>73903955.35441495</v>
      </c>
      <c r="Q13" s="275">
        <f>zał2!S12</f>
        <v>76121074.01504742</v>
      </c>
      <c r="R13" s="275">
        <f>zał2!T12</f>
        <v>78404706.23549883</v>
      </c>
      <c r="S13" s="275">
        <f>zał2!U12</f>
        <v>80756847.42256379</v>
      </c>
      <c r="T13" s="275">
        <f>zał2!V12</f>
        <v>83179552.84524071</v>
      </c>
      <c r="U13" s="275">
        <f>zał2!W12</f>
        <v>85674939.43059793</v>
      </c>
      <c r="V13" s="275">
        <f>zał2!X12</f>
        <v>88245187.61351587</v>
      </c>
      <c r="W13" s="275">
        <f>zał2!Y12</f>
        <v>90892543.24192135</v>
      </c>
      <c r="X13" s="275">
        <f>zał2!Z12</f>
        <v>93619319.53917898</v>
      </c>
    </row>
    <row r="14" spans="1:24" ht="12.75">
      <c r="A14" s="269" t="s">
        <v>365</v>
      </c>
      <c r="B14" s="270" t="s">
        <v>366</v>
      </c>
      <c r="C14" s="278">
        <f>SUM(C15,C19,C23)</f>
        <v>9543861.239999998</v>
      </c>
      <c r="D14" s="278">
        <f>SUM(D15,D19,D23)</f>
        <v>10673140.89</v>
      </c>
      <c r="E14" s="278">
        <f>SUM(E15,E19,E23)</f>
        <v>9001163.51043</v>
      </c>
      <c r="F14" s="278">
        <f>SUM(F15,F19,F23)</f>
        <v>7649874.7363599995</v>
      </c>
      <c r="G14" s="278">
        <f>SUM(G15,G19,G23)</f>
        <v>5040833.002289999</v>
      </c>
      <c r="H14" s="278">
        <f>SUM(H15,H19,H23)</f>
        <v>4833655.26822</v>
      </c>
      <c r="I14" s="278">
        <f>SUM(I15,I19,I23)</f>
        <v>4626477.534150001</v>
      </c>
      <c r="J14" s="278">
        <f>SUM(J15,J19,J23)</f>
        <v>4419299.80008</v>
      </c>
      <c r="K14" s="278">
        <f>SUM(K15,K19,K23)</f>
        <v>4212130.52601</v>
      </c>
      <c r="L14" s="278">
        <f>SUM(L15,L19,L23)</f>
        <v>3050896.3285400006</v>
      </c>
      <c r="M14" s="278">
        <f>SUM(M15,M19,M23)</f>
        <v>1449985.2348700005</v>
      </c>
      <c r="N14" s="278">
        <f>SUM(N15,N19,N23)</f>
        <v>1396552.8712000004</v>
      </c>
      <c r="O14" s="278">
        <f>SUM(O15,O19,O23)</f>
        <v>1343120.5075300005</v>
      </c>
      <c r="P14" s="278">
        <f>SUM(P15,P19,P23)</f>
        <v>1289688.1438600007</v>
      </c>
      <c r="Q14" s="278">
        <f>SUM(Q15,Q19,Q23)</f>
        <v>1236255.7801900003</v>
      </c>
      <c r="R14" s="278">
        <f>SUM(R15,R19,R23)</f>
        <v>1182823.4165200004</v>
      </c>
      <c r="S14" s="278">
        <f>SUM(S15,S19,S23)</f>
        <v>1129391.0528500006</v>
      </c>
      <c r="T14" s="278">
        <f>SUM(T15,T19,T23)</f>
        <v>1075958.6891800005</v>
      </c>
      <c r="U14" s="278">
        <f>SUM(U15,U19,U23)</f>
        <v>1022526.3255100003</v>
      </c>
      <c r="V14" s="278">
        <f>SUM(V15,V19,V23)</f>
        <v>969093.9618400005</v>
      </c>
      <c r="W14" s="278">
        <f>SUM(W15,W19,W23)</f>
        <v>915672.8781700004</v>
      </c>
      <c r="X14" s="278">
        <f>SUM(X15,X19,X23)</f>
        <v>418691.39450000005</v>
      </c>
    </row>
    <row r="15" spans="1:24" ht="46.5" customHeight="1">
      <c r="A15" s="269" t="s">
        <v>354</v>
      </c>
      <c r="B15" s="253" t="s">
        <v>367</v>
      </c>
      <c r="C15" s="278">
        <f>SUM(C16:C18)</f>
        <v>8351861.239999999</v>
      </c>
      <c r="D15" s="278">
        <f>SUM(D16:D18)</f>
        <v>9481140.89</v>
      </c>
      <c r="E15" s="278">
        <f>SUM(E16:E18)</f>
        <v>7139069.770304594</v>
      </c>
      <c r="F15" s="278">
        <f>SUM(F16:F18)</f>
        <v>6860352.331982293</v>
      </c>
      <c r="G15" s="278">
        <f>SUM(G16:G18)</f>
        <v>4294110.515724957</v>
      </c>
      <c r="H15" s="278">
        <f>SUM(H16:H18)</f>
        <v>4129732.6994676213</v>
      </c>
      <c r="I15" s="278">
        <f>SUM(I16:I18)</f>
        <v>3965354.883210285</v>
      </c>
      <c r="J15" s="278">
        <f>SUM(J16:J18)</f>
        <v>3800977.0669529485</v>
      </c>
      <c r="K15" s="278">
        <f>SUM(K16:K18)</f>
        <v>3636607.8222517874</v>
      </c>
      <c r="L15" s="278">
        <f>SUM(L16:L18)</f>
        <v>2505593.1778113022</v>
      </c>
      <c r="M15" s="278">
        <f>SUM(M16:M18)</f>
        <v>915720.4362300439</v>
      </c>
      <c r="N15" s="278">
        <f>SUM(N16:N18)</f>
        <v>873326.4246487856</v>
      </c>
      <c r="O15" s="278">
        <f>SUM(O16:O18)</f>
        <v>830932.4130675273</v>
      </c>
      <c r="P15" s="278">
        <f>SUM(P16:P18)</f>
        <v>788538.401486269</v>
      </c>
      <c r="Q15" s="278">
        <f>SUM(Q16:Q18)</f>
        <v>746144.3899050106</v>
      </c>
      <c r="R15" s="278">
        <f>SUM(R16:R18)</f>
        <v>703750.3783237523</v>
      </c>
      <c r="S15" s="278">
        <f>SUM(S16:S18)</f>
        <v>661356.3667424939</v>
      </c>
      <c r="T15" s="278">
        <f>SUM(T16:T18)</f>
        <v>618962.3551612357</v>
      </c>
      <c r="U15" s="278">
        <f>SUM(U16:U18)</f>
        <v>576568.3435799773</v>
      </c>
      <c r="V15" s="278">
        <f>SUM(V16:V18)</f>
        <v>534174.331998719</v>
      </c>
      <c r="W15" s="278">
        <f>SUM(W16:W18)</f>
        <v>491791.74915902776</v>
      </c>
      <c r="X15" s="278">
        <f>SUM(X16:X18)</f>
        <v>0</v>
      </c>
    </row>
    <row r="16" spans="1:24" ht="12.75">
      <c r="A16" s="269" t="s">
        <v>322</v>
      </c>
      <c r="B16" s="253" t="s">
        <v>368</v>
      </c>
      <c r="C16" s="279">
        <f>zał2!E70+zał2!E71-zał2!E77-zał2!E78-zał2!E79</f>
        <v>4726604.1</v>
      </c>
      <c r="D16" s="279">
        <f>zał2!F70+zał2!F71-zał2!F77-zał2!F78-zał2!F79</f>
        <v>6035183.99</v>
      </c>
      <c r="E16" s="279">
        <f>zał2!G70+zał2!G71-zał2!G77-zał2!G78-zał2!G79</f>
        <v>4352333.14</v>
      </c>
      <c r="F16" s="279">
        <f>zał2!H70+zał2!H71-zał2!H77-zał2!H78-zał2!H79</f>
        <v>4352333.9399999995</v>
      </c>
      <c r="G16" s="279">
        <f>zał2!I70+zał2!I71-zał2!I77-zał2!I78-zał2!I79</f>
        <v>2174186.94</v>
      </c>
      <c r="H16" s="279">
        <f>zał2!J70+zał2!J71-zał2!J77-zał2!J78-zał2!J79</f>
        <v>2174186.94</v>
      </c>
      <c r="I16" s="279">
        <f>zał2!K70+zał2!K71-zał2!K77-zał2!K78-zał2!K79</f>
        <v>2174186.94</v>
      </c>
      <c r="J16" s="279">
        <f>zał2!L70+zał2!L71-zał2!L77-zał2!L78-zał2!L79</f>
        <v>2174186.94</v>
      </c>
      <c r="K16" s="279">
        <f>zał2!M70+zał2!M71-zał2!M77-zał2!M78-zał2!M79</f>
        <v>2174192.94</v>
      </c>
      <c r="L16" s="279">
        <f>zał2!N70+zał2!N71-zał2!N77-zał2!N78-zał2!N79</f>
        <v>1630657.83</v>
      </c>
      <c r="M16" s="279">
        <f>zał2!O70+zał2!O71-zał2!O77-zał2!O78-zał2!O79</f>
        <v>396660</v>
      </c>
      <c r="N16" s="279">
        <f>zał2!P70+zał2!P71-zał2!P77-zał2!P78-zał2!P79</f>
        <v>396660</v>
      </c>
      <c r="O16" s="279">
        <f>zał2!Q70+zał2!Q71-zał2!Q77-zał2!Q78-zał2!Q79</f>
        <v>396660</v>
      </c>
      <c r="P16" s="279">
        <f>zał2!R70+zał2!R71-zał2!R77-zał2!R78-zał2!R79</f>
        <v>396660</v>
      </c>
      <c r="Q16" s="279">
        <f>zał2!S70+zał2!S71-zał2!S77-zał2!S78-zał2!S79</f>
        <v>396660</v>
      </c>
      <c r="R16" s="279">
        <f>zał2!T70+zał2!T71-zał2!T77-zał2!T78-zał2!T79</f>
        <v>396660</v>
      </c>
      <c r="S16" s="279">
        <f>zał2!U70+zał2!U71-zał2!U77-zał2!U78-zał2!U79</f>
        <v>396660</v>
      </c>
      <c r="T16" s="279">
        <f>zał2!V70+zał2!V71-zał2!V77-zał2!V78-zał2!V79</f>
        <v>396660</v>
      </c>
      <c r="U16" s="279">
        <f>zał2!W70+zał2!W71-zał2!W77-zał2!W78-zał2!W79</f>
        <v>396660</v>
      </c>
      <c r="V16" s="279">
        <f>zał2!X70+zał2!X71-zał2!X77-zał2!X78-zał2!X79</f>
        <v>396660</v>
      </c>
      <c r="W16" s="279">
        <f>zał2!Y70+zał2!Y71-zał2!Y77-zał2!Y78-zał2!Y79</f>
        <v>396626</v>
      </c>
      <c r="X16" s="279">
        <f>zał2!Z70+zał2!Z71-zał2!Z77-zał2!Z78-zał2!Z79</f>
        <v>0</v>
      </c>
    </row>
    <row r="17" spans="1:24" ht="12.75">
      <c r="A17" s="269" t="s">
        <v>324</v>
      </c>
      <c r="B17" s="253" t="s">
        <v>369</v>
      </c>
      <c r="C17" s="280">
        <f>zał2!E77+zał2!E78+zał2!E79</f>
        <v>1974529.9</v>
      </c>
      <c r="D17" s="280">
        <f>zał2!F77+zał2!F78+zał2!F79</f>
        <v>1245956.9</v>
      </c>
      <c r="E17" s="280">
        <f>zał2!G77+zał2!G78+zał2!G79</f>
        <v>1083800.9</v>
      </c>
      <c r="F17" s="280">
        <f>zał2!H77+zał2!H78+zał2!H79</f>
        <v>1083800.9</v>
      </c>
      <c r="G17" s="280">
        <f>zał2!I77+zał2!I78+zał2!I79</f>
        <v>860083.9</v>
      </c>
      <c r="H17" s="280">
        <f>zał2!J77+zał2!J78+zał2!J79</f>
        <v>860083.9</v>
      </c>
      <c r="I17" s="280">
        <f>zał2!K77+zał2!K78+zał2!K79</f>
        <v>860083.9</v>
      </c>
      <c r="J17" s="280">
        <f>zał2!L77+zał2!L78+zał2!L79</f>
        <v>860083.9</v>
      </c>
      <c r="K17" s="280">
        <f>zał2!M77+zał2!M78+zał2!M79</f>
        <v>860086.9</v>
      </c>
      <c r="L17" s="280">
        <f>zał2!N77+zał2!N78+zał2!N79</f>
        <v>388668.9</v>
      </c>
      <c r="M17" s="280">
        <f>zał2!O77+zał2!O78+zał2!O79</f>
        <v>75188</v>
      </c>
      <c r="N17" s="280">
        <f>zał2!P77+zał2!P78+zał2!P79</f>
        <v>75188</v>
      </c>
      <c r="O17" s="280">
        <f>zał2!Q77+zał2!Q78+zał2!Q79</f>
        <v>75188</v>
      </c>
      <c r="P17" s="280">
        <f>zał2!R77+zał2!R78+zał2!R79</f>
        <v>75188</v>
      </c>
      <c r="Q17" s="280">
        <f>zał2!S77+zał2!S78+zał2!S79</f>
        <v>75188</v>
      </c>
      <c r="R17" s="280">
        <f>zał2!T77+zał2!T78+zał2!T79</f>
        <v>75188</v>
      </c>
      <c r="S17" s="280">
        <f>zał2!U77+zał2!U78+zał2!U79</f>
        <v>75188</v>
      </c>
      <c r="T17" s="280">
        <f>zał2!V77+zał2!V78+zał2!V79</f>
        <v>75188</v>
      </c>
      <c r="U17" s="280">
        <f>zał2!W77+zał2!W78+zał2!W79</f>
        <v>75188</v>
      </c>
      <c r="V17" s="280">
        <f>zał2!X77+zał2!X78+zał2!X79</f>
        <v>75188</v>
      </c>
      <c r="W17" s="280">
        <f>zał2!Y77+zał2!Y78+zał2!Y79</f>
        <v>75234</v>
      </c>
      <c r="X17" s="280">
        <f>zał2!Z77+zał2!Z78+zał2!Z79</f>
        <v>0</v>
      </c>
    </row>
    <row r="18" spans="1:24" ht="12.75">
      <c r="A18" s="269" t="s">
        <v>326</v>
      </c>
      <c r="B18" s="255" t="s">
        <v>370</v>
      </c>
      <c r="C18" s="281">
        <f>zał2!E40</f>
        <v>1650727.24</v>
      </c>
      <c r="D18" s="282">
        <f>zał2!F40</f>
        <v>2200000</v>
      </c>
      <c r="E18" s="282">
        <f>zał2!G40-E22</f>
        <v>1702935.7303045942</v>
      </c>
      <c r="F18" s="282">
        <f>zał2!H40-F22</f>
        <v>1424217.491982294</v>
      </c>
      <c r="G18" s="282">
        <f>zał2!I40-G22</f>
        <v>1259839.6757249576</v>
      </c>
      <c r="H18" s="282">
        <f>zał2!J40-H22</f>
        <v>1095461.8594676214</v>
      </c>
      <c r="I18" s="282">
        <f>zał2!K40-I22</f>
        <v>931084.043210285</v>
      </c>
      <c r="J18" s="282">
        <f>zał2!L40-J22</f>
        <v>766706.2269529486</v>
      </c>
      <c r="K18" s="282">
        <f>zał2!M40-K22</f>
        <v>602327.9822517876</v>
      </c>
      <c r="L18" s="282">
        <f>zał2!N40-L22</f>
        <v>486266.44781130226</v>
      </c>
      <c r="M18" s="282">
        <f>zał2!O40-M22</f>
        <v>443872.43623004394</v>
      </c>
      <c r="N18" s="282">
        <f>zał2!P40-N22</f>
        <v>401478.4246487856</v>
      </c>
      <c r="O18" s="282">
        <f>zał2!Q40-O22</f>
        <v>359084.4130675273</v>
      </c>
      <c r="P18" s="282">
        <f>zał2!R40-P22</f>
        <v>316690.40148626897</v>
      </c>
      <c r="Q18" s="282">
        <f>zał2!S40-Q22</f>
        <v>274296.3899050106</v>
      </c>
      <c r="R18" s="282">
        <f>zał2!T40-R22</f>
        <v>231902.3783237523</v>
      </c>
      <c r="S18" s="282">
        <f>zał2!U40-S22</f>
        <v>189508.36674249396</v>
      </c>
      <c r="T18" s="282">
        <f>zał2!V40-T22</f>
        <v>147114.35516123564</v>
      </c>
      <c r="U18" s="282">
        <f>zał2!W40-U22</f>
        <v>104720.34357997734</v>
      </c>
      <c r="V18" s="282">
        <f>zał2!X40-V22</f>
        <v>62326.331998719026</v>
      </c>
      <c r="W18" s="282">
        <f>zał2!Y40-W22</f>
        <v>19931.749159027757</v>
      </c>
      <c r="X18" s="282">
        <f>zał2!Z40-X22</f>
        <v>0</v>
      </c>
    </row>
    <row r="19" spans="1:24" ht="38.25" customHeight="1">
      <c r="A19" s="269" t="s">
        <v>359</v>
      </c>
      <c r="B19" s="253" t="s">
        <v>371</v>
      </c>
      <c r="C19" s="278">
        <f>SUM(C20:C22)</f>
        <v>0</v>
      </c>
      <c r="D19" s="278">
        <f>SUM(D20:D22)</f>
        <v>0</v>
      </c>
      <c r="E19" s="278">
        <f>SUM(E20:E22)</f>
        <v>862093.7401254058</v>
      </c>
      <c r="F19" s="278">
        <f>SUM(F20:F22)</f>
        <v>789522.4043777062</v>
      </c>
      <c r="G19" s="278">
        <f>SUM(G20:G22)</f>
        <v>746722.4865650426</v>
      </c>
      <c r="H19" s="278">
        <f>SUM(H20:H22)</f>
        <v>703922.568752379</v>
      </c>
      <c r="I19" s="278">
        <f>SUM(I20:I22)</f>
        <v>661122.6509397154</v>
      </c>
      <c r="J19" s="278">
        <f>SUM(J20:J22)</f>
        <v>618322.7331270518</v>
      </c>
      <c r="K19" s="278">
        <f>SUM(K20:K22)</f>
        <v>575522.703758213</v>
      </c>
      <c r="L19" s="278">
        <f>SUM(L20:L22)</f>
        <v>545303.1507286982</v>
      </c>
      <c r="M19" s="278">
        <f>SUM(M20:M22)</f>
        <v>534264.7986399566</v>
      </c>
      <c r="N19" s="278">
        <f>SUM(N20:N22)</f>
        <v>523226.4465512149</v>
      </c>
      <c r="O19" s="278">
        <f>SUM(O20:O22)</f>
        <v>512188.09446247324</v>
      </c>
      <c r="P19" s="278">
        <f>SUM(P20:P22)</f>
        <v>501149.74237373157</v>
      </c>
      <c r="Q19" s="278">
        <f>SUM(Q20:Q22)</f>
        <v>490111.39028498984</v>
      </c>
      <c r="R19" s="278">
        <f>SUM(R20:R22)</f>
        <v>479073.0381962482</v>
      </c>
      <c r="S19" s="278">
        <f>SUM(S20:S22)</f>
        <v>468034.6861075065</v>
      </c>
      <c r="T19" s="278">
        <f>SUM(T20:T22)</f>
        <v>456996.3340187648</v>
      </c>
      <c r="U19" s="278">
        <f>SUM(U20:U22)</f>
        <v>445957.9819300231</v>
      </c>
      <c r="V19" s="278">
        <f>SUM(V20:V22)</f>
        <v>434919.62984128145</v>
      </c>
      <c r="W19" s="278">
        <f>SUM(W20:W22)</f>
        <v>423881.1290109727</v>
      </c>
      <c r="X19" s="278">
        <f>SUM(X20:X22)</f>
        <v>418691.39450000005</v>
      </c>
    </row>
    <row r="20" spans="1:24" ht="12.75">
      <c r="A20" s="269" t="s">
        <v>322</v>
      </c>
      <c r="B20" s="253" t="s">
        <v>368</v>
      </c>
      <c r="C20" s="283">
        <v>0</v>
      </c>
      <c r="D20" s="283">
        <f>SUM(D55-D56)</f>
        <v>0</v>
      </c>
      <c r="E20" s="283">
        <f>zał2!G72-zał2!G80</f>
        <v>287057.0445000001</v>
      </c>
      <c r="F20" s="283">
        <f>zał2!H72-zał2!H80</f>
        <v>287057.0445000001</v>
      </c>
      <c r="G20" s="283">
        <f>zał2!I72-zał2!I80</f>
        <v>287057.0445000001</v>
      </c>
      <c r="H20" s="283">
        <f>zał2!J72-zał2!J80</f>
        <v>287057.0445000001</v>
      </c>
      <c r="I20" s="283">
        <f>zał2!K72-zał2!K80</f>
        <v>287057.0445000001</v>
      </c>
      <c r="J20" s="283">
        <f>zał2!L72-zał2!L80</f>
        <v>287057.0445000001</v>
      </c>
      <c r="K20" s="283">
        <f>zał2!M72-zał2!M80</f>
        <v>287057.0445000001</v>
      </c>
      <c r="L20" s="283">
        <f>zał2!N72-zał2!N80</f>
        <v>287057.0445000001</v>
      </c>
      <c r="M20" s="283">
        <f>zał2!O72-zał2!O80</f>
        <v>287057.0445000001</v>
      </c>
      <c r="N20" s="283">
        <f>zał2!P72-zał2!P80</f>
        <v>287057.0445000001</v>
      </c>
      <c r="O20" s="283">
        <f>zał2!Q72-zał2!Q80</f>
        <v>287057.0445000001</v>
      </c>
      <c r="P20" s="283">
        <f>zał2!R72-zał2!R80</f>
        <v>287057.0445000001</v>
      </c>
      <c r="Q20" s="283">
        <f>zał2!S72-zał2!S80</f>
        <v>287057.0445000001</v>
      </c>
      <c r="R20" s="283">
        <f>zał2!T72-zał2!T80</f>
        <v>287057.0445000001</v>
      </c>
      <c r="S20" s="283">
        <f>zał2!U72-zał2!U80</f>
        <v>287057.0445000001</v>
      </c>
      <c r="T20" s="283">
        <f>zał2!V72-zał2!V80</f>
        <v>287057.0445000001</v>
      </c>
      <c r="U20" s="283">
        <f>zał2!W72-zał2!W80</f>
        <v>287057.0445000001</v>
      </c>
      <c r="V20" s="283">
        <f>zał2!X72-zał2!X80</f>
        <v>287057.0445000001</v>
      </c>
      <c r="W20" s="283">
        <f>zał2!Y72-zał2!Y80</f>
        <v>287057.0445000001</v>
      </c>
      <c r="X20" s="283">
        <f>zał2!Z72-zał2!Z80</f>
        <v>287057.0445000001</v>
      </c>
    </row>
    <row r="21" spans="1:24" ht="12.75">
      <c r="A21" s="269" t="s">
        <v>324</v>
      </c>
      <c r="B21" s="253" t="s">
        <v>369</v>
      </c>
      <c r="C21" s="283">
        <v>0</v>
      </c>
      <c r="D21" s="283">
        <f>SUM(D56)</f>
        <v>0</v>
      </c>
      <c r="E21" s="283">
        <f>zał2!G80</f>
        <v>131634.35</v>
      </c>
      <c r="F21" s="283">
        <f>zał2!H80</f>
        <v>131634.35</v>
      </c>
      <c r="G21" s="283">
        <f>zał2!I80</f>
        <v>131634.35</v>
      </c>
      <c r="H21" s="283">
        <f>zał2!J80</f>
        <v>131634.35</v>
      </c>
      <c r="I21" s="283">
        <f>zał2!K80</f>
        <v>131634.35</v>
      </c>
      <c r="J21" s="283">
        <f>zał2!L80</f>
        <v>131634.35</v>
      </c>
      <c r="K21" s="283">
        <f>zał2!M80</f>
        <v>131634.35</v>
      </c>
      <c r="L21" s="283">
        <f>zał2!N80</f>
        <v>131634.35</v>
      </c>
      <c r="M21" s="283">
        <f>zał2!O80</f>
        <v>131634.35</v>
      </c>
      <c r="N21" s="283">
        <f>zał2!P80</f>
        <v>131634.35</v>
      </c>
      <c r="O21" s="283">
        <f>zał2!Q80</f>
        <v>131634.35</v>
      </c>
      <c r="P21" s="283">
        <f>zał2!R80</f>
        <v>131634.35</v>
      </c>
      <c r="Q21" s="283">
        <f>zał2!S80</f>
        <v>131634.35</v>
      </c>
      <c r="R21" s="283">
        <f>zał2!T80</f>
        <v>131634.35</v>
      </c>
      <c r="S21" s="283">
        <f>zał2!U80</f>
        <v>131634.35</v>
      </c>
      <c r="T21" s="283">
        <f>zał2!V80</f>
        <v>131634.35</v>
      </c>
      <c r="U21" s="283">
        <f>zał2!W80</f>
        <v>131634.35</v>
      </c>
      <c r="V21" s="283">
        <f>zał2!X80</f>
        <v>131634.35</v>
      </c>
      <c r="W21" s="283">
        <f>zał2!Y80</f>
        <v>131634.35</v>
      </c>
      <c r="X21" s="283">
        <f>zał2!Z80</f>
        <v>131634.35</v>
      </c>
    </row>
    <row r="22" spans="1:24" ht="12.75">
      <c r="A22" s="269" t="s">
        <v>326</v>
      </c>
      <c r="B22" s="255" t="s">
        <v>370</v>
      </c>
      <c r="C22" s="283">
        <v>0</v>
      </c>
      <c r="D22" s="283">
        <f>SUM(D62*0.25)</f>
        <v>0</v>
      </c>
      <c r="E22" s="283">
        <f>zał2!$F$18/zał2!$E$46*zał2!G40</f>
        <v>443402.3456254058</v>
      </c>
      <c r="F22" s="283">
        <f>zał2!$F$18/zał2!$E$46*zał2!H40</f>
        <v>370831.0098777062</v>
      </c>
      <c r="G22" s="283">
        <f>zał2!$F$18/zał2!$E$46*zał2!I40</f>
        <v>328031.0920650426</v>
      </c>
      <c r="H22" s="283">
        <f>zał2!$F$18/zał2!$E$46*zał2!J40</f>
        <v>285231.174252379</v>
      </c>
      <c r="I22" s="283">
        <f>zał2!$F$18/zał2!$E$46*zał2!K40</f>
        <v>242431.2564397154</v>
      </c>
      <c r="J22" s="283">
        <f>zał2!$F$18/zał2!$E$46*zał2!L40</f>
        <v>199631.33862705177</v>
      </c>
      <c r="K22" s="283">
        <f>zał2!$F$18/zał2!$E$46*zał2!M40</f>
        <v>156831.3092582129</v>
      </c>
      <c r="L22" s="283">
        <f>zał2!$F$18/zał2!$E$46*zał2!N40</f>
        <v>126611.75622869818</v>
      </c>
      <c r="M22" s="283">
        <f>zał2!$F$18/zał2!$E$46*zał2!O40</f>
        <v>115573.4041399565</v>
      </c>
      <c r="N22" s="283">
        <f>zał2!$F$18/zał2!$E$46*zał2!P40</f>
        <v>104535.05205121484</v>
      </c>
      <c r="O22" s="283">
        <f>zał2!$F$18/zał2!$E$46*zał2!Q40</f>
        <v>93496.69996247314</v>
      </c>
      <c r="P22" s="283">
        <f>zał2!$F$18/zał2!$E$46*zał2!R40</f>
        <v>82458.34787373146</v>
      </c>
      <c r="Q22" s="283">
        <f>zał2!$F$18/zał2!$E$46*zał2!S40</f>
        <v>71419.99578498976</v>
      </c>
      <c r="R22" s="283">
        <f>zał2!$F$18/zał2!$E$46*zał2!T40</f>
        <v>60381.64369624809</v>
      </c>
      <c r="S22" s="283">
        <f>zał2!$F$18/zał2!$E$46*zał2!U40</f>
        <v>49343.2916075064</v>
      </c>
      <c r="T22" s="283">
        <f>zał2!$F$18/zał2!$E$46*zał2!V40</f>
        <v>38304.939518764724</v>
      </c>
      <c r="U22" s="283">
        <f>zał2!$F$18/zał2!$E$46*zał2!W40</f>
        <v>27266.587430023043</v>
      </c>
      <c r="V22" s="283">
        <f>zał2!$F$18/zał2!$E$46*zał2!X40</f>
        <v>16228.235341281363</v>
      </c>
      <c r="W22" s="283">
        <f>zał2!$F$18/zał2!$E$46*zał2!Y40</f>
        <v>5189.734510972622</v>
      </c>
      <c r="X22" s="283">
        <f>zał2!$F$18/zał2!$E$46*zał2!Z40</f>
        <v>0</v>
      </c>
    </row>
    <row r="23" spans="1:24" ht="12.75">
      <c r="A23" s="269" t="s">
        <v>361</v>
      </c>
      <c r="B23" s="253" t="s">
        <v>372</v>
      </c>
      <c r="C23" s="276">
        <f>zał1!G16</f>
        <v>1192000</v>
      </c>
      <c r="D23" s="276">
        <f>zał2!F35</f>
        <v>1192000</v>
      </c>
      <c r="E23" s="276">
        <f>zał2!G35</f>
        <v>1000000</v>
      </c>
      <c r="F23" s="276">
        <f>zał2!H35</f>
        <v>0</v>
      </c>
      <c r="G23" s="276">
        <f>zał2!I35</f>
        <v>0</v>
      </c>
      <c r="H23" s="276">
        <f>zał2!J35</f>
        <v>0</v>
      </c>
      <c r="I23" s="276">
        <f>zał2!K35</f>
        <v>0</v>
      </c>
      <c r="J23" s="276">
        <f>zał2!L35</f>
        <v>0</v>
      </c>
      <c r="K23" s="276">
        <f>zał2!M35</f>
        <v>0</v>
      </c>
      <c r="L23" s="276">
        <f>zał2!N35</f>
        <v>0</v>
      </c>
      <c r="M23" s="276">
        <f>zał2!O35</f>
        <v>0</v>
      </c>
      <c r="N23" s="276">
        <f>zał2!P35</f>
        <v>0</v>
      </c>
      <c r="O23" s="276">
        <f>zał2!Q35</f>
        <v>0</v>
      </c>
      <c r="P23" s="276">
        <f>zał2!R35</f>
        <v>0</v>
      </c>
      <c r="Q23" s="276">
        <f>zał2!S35</f>
        <v>0</v>
      </c>
      <c r="R23" s="276">
        <f>zał2!T35</f>
        <v>0</v>
      </c>
      <c r="S23" s="276">
        <f>zał2!U35</f>
        <v>0</v>
      </c>
      <c r="T23" s="276">
        <f>zał2!V35</f>
        <v>0</v>
      </c>
      <c r="U23" s="276">
        <f>zał2!W35</f>
        <v>0</v>
      </c>
      <c r="V23" s="276">
        <f>zał2!X35</f>
        <v>0</v>
      </c>
      <c r="W23" s="276">
        <f>zał2!Y35</f>
        <v>0</v>
      </c>
      <c r="X23" s="276">
        <f>zał2!Z35</f>
        <v>0</v>
      </c>
    </row>
    <row r="24" spans="1:24" ht="12.75">
      <c r="A24" s="269" t="s">
        <v>373</v>
      </c>
      <c r="B24" s="253" t="s">
        <v>374</v>
      </c>
      <c r="C24" s="276">
        <f>zał2!E30</f>
        <v>0</v>
      </c>
      <c r="D24" s="276">
        <f>zał2!F30</f>
        <v>0</v>
      </c>
      <c r="E24" s="276">
        <f>zał2!G30</f>
        <v>0</v>
      </c>
      <c r="F24" s="276">
        <f>zał2!H30</f>
        <v>0</v>
      </c>
      <c r="G24" s="276">
        <f>zał2!I30</f>
        <v>0</v>
      </c>
      <c r="H24" s="276">
        <f>zał2!J30</f>
        <v>0</v>
      </c>
      <c r="I24" s="276">
        <f>zał2!K30</f>
        <v>0</v>
      </c>
      <c r="J24" s="276">
        <f>zał2!L30</f>
        <v>0</v>
      </c>
      <c r="K24" s="276">
        <f>zał2!M30</f>
        <v>0</v>
      </c>
      <c r="L24" s="276">
        <f>zał2!N30</f>
        <v>0</v>
      </c>
      <c r="M24" s="276">
        <f>zał2!O30</f>
        <v>0</v>
      </c>
      <c r="N24" s="276">
        <f>zał2!P30</f>
        <v>0</v>
      </c>
      <c r="O24" s="276">
        <f>zał2!Q30</f>
        <v>0</v>
      </c>
      <c r="P24" s="276">
        <f>zał2!R30</f>
        <v>0</v>
      </c>
      <c r="Q24" s="276">
        <f>zał2!S30</f>
        <v>0</v>
      </c>
      <c r="R24" s="276">
        <f>zał2!T30</f>
        <v>0</v>
      </c>
      <c r="S24" s="276">
        <f>zał2!U30</f>
        <v>0</v>
      </c>
      <c r="T24" s="276">
        <f>zał2!V30</f>
        <v>0</v>
      </c>
      <c r="U24" s="276">
        <f>zał2!W30</f>
        <v>0</v>
      </c>
      <c r="V24" s="276">
        <f>zał2!X30</f>
        <v>0</v>
      </c>
      <c r="W24" s="276">
        <f>zał2!Y30</f>
        <v>0</v>
      </c>
      <c r="X24" s="276">
        <f>zał2!Z30</f>
        <v>0</v>
      </c>
    </row>
    <row r="25" spans="1:24" ht="12.75">
      <c r="A25" s="269" t="s">
        <v>375</v>
      </c>
      <c r="B25" s="277" t="s">
        <v>376</v>
      </c>
      <c r="C25" s="278">
        <f>C6-C13</f>
        <v>-7771882.680000007</v>
      </c>
      <c r="D25" s="272">
        <f>D6-D13</f>
        <v>-1803765</v>
      </c>
      <c r="E25" s="272">
        <f>E6-E13</f>
        <v>15018883.805030003</v>
      </c>
      <c r="F25" s="272">
        <f>F6-F13</f>
        <v>13424915.63098593</v>
      </c>
      <c r="G25" s="272">
        <f>G6-G13</f>
        <v>13967511.630546495</v>
      </c>
      <c r="H25" s="272">
        <f>H6-H13</f>
        <v>14453395.814543426</v>
      </c>
      <c r="I25" s="272">
        <f>I6-I13</f>
        <v>14955929.147947766</v>
      </c>
      <c r="J25" s="272">
        <f>J6-J13</f>
        <v>15475675.356582247</v>
      </c>
      <c r="K25" s="272">
        <f>K6-K13</f>
        <v>16013217.06983585</v>
      </c>
      <c r="L25" s="272">
        <f>L6-L13</f>
        <v>16569156.449516296</v>
      </c>
      <c r="M25" s="272">
        <f>M6-M13</f>
        <v>17144115.839482307</v>
      </c>
      <c r="N25" s="272">
        <f>N6-N13</f>
        <v>17738738.436738178</v>
      </c>
      <c r="O25" s="272">
        <f>O6-O13</f>
        <v>18353688.984695956</v>
      </c>
      <c r="P25" s="272">
        <f>P6-P13</f>
        <v>18989654.48933299</v>
      </c>
      <c r="Q25" s="272">
        <f>Q6-Q13</f>
        <v>19647344.9589971</v>
      </c>
      <c r="R25" s="272">
        <f>R6-R13</f>
        <v>20327494.168635666</v>
      </c>
      <c r="S25" s="272">
        <f>S6-S13</f>
        <v>21030860.44925031</v>
      </c>
      <c r="T25" s="272">
        <f>T6-T13</f>
        <v>21758227.5034056</v>
      </c>
      <c r="U25" s="272">
        <f>U6-U13</f>
        <v>22510405.247646555</v>
      </c>
      <c r="V25" s="272">
        <f>V6-V13</f>
        <v>23288230.68270807</v>
      </c>
      <c r="W25" s="272">
        <f>W6-W13</f>
        <v>24092568.792428</v>
      </c>
      <c r="X25" s="272">
        <f>X6-X13</f>
        <v>24924313.472305954</v>
      </c>
    </row>
    <row r="26" spans="1:24" ht="12.75">
      <c r="A26" s="269" t="s">
        <v>377</v>
      </c>
      <c r="B26" s="270" t="s">
        <v>378</v>
      </c>
      <c r="C26" s="283">
        <f>zał1!G34</f>
        <v>41627126.7</v>
      </c>
      <c r="D26" s="283">
        <f>zał2!F46</f>
        <v>41627126.7</v>
      </c>
      <c r="E26" s="283">
        <f>zał2!G46</f>
        <v>35772301.2655</v>
      </c>
      <c r="F26" s="283">
        <f>zał2!H46</f>
        <v>29917475.031000003</v>
      </c>
      <c r="G26" s="283">
        <f>zał2!I46</f>
        <v>26464512.796500005</v>
      </c>
      <c r="H26" s="283">
        <f>zał2!J46</f>
        <v>23011550.562000006</v>
      </c>
      <c r="I26" s="283">
        <f>zał2!K46</f>
        <v>19558588.327500008</v>
      </c>
      <c r="J26" s="283">
        <f>zał2!L46</f>
        <v>16105626.093000008</v>
      </c>
      <c r="K26" s="283">
        <f>zał2!M46</f>
        <v>12652654.858500008</v>
      </c>
      <c r="L26" s="283">
        <f>zał2!N46</f>
        <v>10214636.734000009</v>
      </c>
      <c r="M26" s="283">
        <f>zał2!O46</f>
        <v>9324097.339500008</v>
      </c>
      <c r="N26" s="283">
        <f>zał2!P46</f>
        <v>8433557.945000008</v>
      </c>
      <c r="O26" s="283">
        <f>zał2!Q46</f>
        <v>7543018.550500007</v>
      </c>
      <c r="P26" s="283">
        <f>zał2!R46</f>
        <v>6652479.156000007</v>
      </c>
      <c r="Q26" s="283">
        <f>zał2!S46</f>
        <v>5761939.761500007</v>
      </c>
      <c r="R26" s="283">
        <f>zał2!T46</f>
        <v>4871400.367000006</v>
      </c>
      <c r="S26" s="283">
        <f>zał2!U46</f>
        <v>3980860.972500006</v>
      </c>
      <c r="T26" s="283">
        <f>zał2!V46</f>
        <v>3090321.5780000063</v>
      </c>
      <c r="U26" s="283">
        <f>zał2!W46</f>
        <v>2199782.1835000063</v>
      </c>
      <c r="V26" s="283">
        <f>zał2!X46</f>
        <v>1309242.7890000064</v>
      </c>
      <c r="W26" s="283">
        <f>zał2!Y46</f>
        <v>418691.39450000634</v>
      </c>
      <c r="X26" s="283">
        <f>zał2!Z46</f>
        <v>0</v>
      </c>
    </row>
    <row r="27" spans="1:24" ht="12.75">
      <c r="A27" s="269" t="s">
        <v>322</v>
      </c>
      <c r="B27" s="253" t="s">
        <v>379</v>
      </c>
      <c r="C27" s="283">
        <f>zał1!G35</f>
        <v>10316494.2</v>
      </c>
      <c r="D27" s="284">
        <f>zał2!F50</f>
        <v>10316494.2</v>
      </c>
      <c r="E27" s="284">
        <f>zał2!G50</f>
        <v>9101058.95</v>
      </c>
      <c r="F27" s="284">
        <f>zał2!H50</f>
        <v>7885623.699999999</v>
      </c>
      <c r="G27" s="284">
        <f>zał2!I50</f>
        <v>6893905.449999999</v>
      </c>
      <c r="H27" s="284">
        <f>zał2!J50</f>
        <v>5902187.199999999</v>
      </c>
      <c r="I27" s="284">
        <f>zał2!K50</f>
        <v>4910468.949999999</v>
      </c>
      <c r="J27" s="284">
        <f>zał2!L50</f>
        <v>3918750.6999999993</v>
      </c>
      <c r="K27" s="284">
        <f>zał2!M50</f>
        <v>2927029.4499999993</v>
      </c>
      <c r="L27" s="284">
        <f>zał2!N50</f>
        <v>2406726.1999999993</v>
      </c>
      <c r="M27" s="284">
        <f>zał2!O50</f>
        <v>2199903.849999999</v>
      </c>
      <c r="N27" s="284">
        <f>zał2!P50</f>
        <v>1993081.499999999</v>
      </c>
      <c r="O27" s="284">
        <f>zał2!Q50</f>
        <v>1786259.149999999</v>
      </c>
      <c r="P27" s="284">
        <f>zał2!R50</f>
        <v>1579436.7999999989</v>
      </c>
      <c r="Q27" s="284">
        <f>zał2!S50</f>
        <v>1372614.4499999988</v>
      </c>
      <c r="R27" s="284">
        <f>zał2!T50</f>
        <v>1165792.0999999987</v>
      </c>
      <c r="S27" s="284">
        <f>zał2!U50</f>
        <v>958969.7499999987</v>
      </c>
      <c r="T27" s="284">
        <f>zał2!V50</f>
        <v>752147.3999999987</v>
      </c>
      <c r="U27" s="284">
        <f>zał2!W50</f>
        <v>545325.0499999988</v>
      </c>
      <c r="V27" s="284">
        <f>zał2!X50</f>
        <v>338502.6999999988</v>
      </c>
      <c r="W27" s="284">
        <f>zał2!Y50</f>
        <v>131634.34999999878</v>
      </c>
      <c r="X27" s="285">
        <f>zał2!Z50</f>
        <v>-1.2223608791828156E-09</v>
      </c>
    </row>
    <row r="28" spans="1:24" ht="12.75">
      <c r="A28" s="269" t="s">
        <v>380</v>
      </c>
      <c r="B28" s="270" t="s">
        <v>381</v>
      </c>
      <c r="C28" s="286">
        <f>C26/C6</f>
        <v>0.572791512288785</v>
      </c>
      <c r="D28" s="286">
        <f>D26/D6</f>
        <v>0.456180620288213</v>
      </c>
      <c r="E28" s="286">
        <f>E26/E6</f>
        <v>0.5035561043610578</v>
      </c>
      <c r="F28" s="286">
        <f>F26/F6</f>
        <v>0.43682023793370706</v>
      </c>
      <c r="G28" s="286">
        <f>G26/G6</f>
        <v>0.3748050587819185</v>
      </c>
      <c r="H28" s="286">
        <f>H26/H6</f>
        <v>0.31611938650944227</v>
      </c>
      <c r="I28" s="286">
        <f>I26/I6</f>
        <v>0.26061921883554967</v>
      </c>
      <c r="J28" s="286">
        <f>J26/J6</f>
        <v>0.2081661982232039</v>
      </c>
      <c r="K28" s="286">
        <f>K26/K6</f>
        <v>0.15862728993424507</v>
      </c>
      <c r="L28" s="286">
        <f>L26/L6</f>
        <v>0.12421750268494659</v>
      </c>
      <c r="M28" s="286">
        <f>M26/M6</f>
        <v>0.10998419235809875</v>
      </c>
      <c r="N28" s="286">
        <f>N26/N6</f>
        <v>0.09649346190169525</v>
      </c>
      <c r="O28" s="286">
        <f>O26/O6</f>
        <v>0.08371355658277095</v>
      </c>
      <c r="P28" s="286">
        <f>P26/P6</f>
        <v>0.07161395888468362</v>
      </c>
      <c r="Q28" s="286">
        <f>Q26/Q6</f>
        <v>0.06016534284711986</v>
      </c>
      <c r="R28" s="286">
        <f>R26/R6</f>
        <v>0.04933953003235216</v>
      </c>
      <c r="S28" s="286">
        <f>S26/S6</f>
        <v>0.039109447061262896</v>
      </c>
      <c r="T28" s="286">
        <f>T26/T6</f>
        <v>0.029449084664576394</v>
      </c>
      <c r="U28" s="286">
        <f>U26/U6</f>
        <v>0.020333458196601477</v>
      </c>
      <c r="V28" s="286">
        <f>V26/V6</f>
        <v>0.011738569560584623</v>
      </c>
      <c r="W28" s="286">
        <f>W26/W6</f>
        <v>0.0036412661351752323</v>
      </c>
      <c r="X28" s="286">
        <f>X26/X6</f>
        <v>0</v>
      </c>
    </row>
    <row r="29" spans="1:24" ht="12.75">
      <c r="A29" s="269" t="s">
        <v>382</v>
      </c>
      <c r="B29" s="270" t="s">
        <v>383</v>
      </c>
      <c r="C29" s="286">
        <f>C14/C6</f>
        <v>0.1313240462675008</v>
      </c>
      <c r="D29" s="286">
        <f>D14/D6</f>
        <v>0.11696411493190303</v>
      </c>
      <c r="E29" s="286">
        <f>E14/E6</f>
        <v>0.12670671641693948</v>
      </c>
      <c r="F29" s="286">
        <f>F14/F6</f>
        <v>0.1116945898354489</v>
      </c>
      <c r="G29" s="286">
        <f>G14/G6</f>
        <v>0.07139106335571786</v>
      </c>
      <c r="H29" s="286">
        <f>H14/H6</f>
        <v>0.06640196339099001</v>
      </c>
      <c r="I29" s="286">
        <f>I14/I6</f>
        <v>0.06164805663479665</v>
      </c>
      <c r="J29" s="286">
        <f>J14/J6</f>
        <v>0.05711971908940915</v>
      </c>
      <c r="K29" s="286">
        <f>K14/K6</f>
        <v>0.05280779865273934</v>
      </c>
      <c r="L29" s="286">
        <f>L14/L6</f>
        <v>0.03710114542012757</v>
      </c>
      <c r="M29" s="286">
        <f>M14/M6</f>
        <v>0.01710358109548616</v>
      </c>
      <c r="N29" s="286">
        <f>N14/N6</f>
        <v>0.01597881014746976</v>
      </c>
      <c r="O29" s="286">
        <f>O14/O6</f>
        <v>0.014906153796630866</v>
      </c>
      <c r="P29" s="286">
        <f>P14/P6</f>
        <v>0.01388349689531202</v>
      </c>
      <c r="Q29" s="286">
        <f>Q14/Q6</f>
        <v>0.012908804316014181</v>
      </c>
      <c r="R29" s="286">
        <f>R14/R6</f>
        <v>0.011980118053466058</v>
      </c>
      <c r="S29" s="286">
        <f>S14/S6</f>
        <v>0.011095554428559234</v>
      </c>
      <c r="T29" s="286">
        <f>T14/T6</f>
        <v>0.010253301390645245</v>
      </c>
      <c r="U29" s="286">
        <f>U14/U6</f>
        <v>0.00945161591480907</v>
      </c>
      <c r="V29" s="286">
        <f>V14/V6</f>
        <v>0.008688821490848273</v>
      </c>
      <c r="W29" s="286">
        <f>W14/W6</f>
        <v>0.007963403800454294</v>
      </c>
      <c r="X29" s="286">
        <f>X14/X6</f>
        <v>0.003531960206242673</v>
      </c>
    </row>
    <row r="30" spans="1:24" ht="12.75">
      <c r="A30" s="269" t="s">
        <v>384</v>
      </c>
      <c r="B30" s="270" t="s">
        <v>385</v>
      </c>
      <c r="C30" s="286">
        <f>(C26-C27)/C6</f>
        <v>0.43083599475035067</v>
      </c>
      <c r="D30" s="286">
        <f>(D26-D27)/D6</f>
        <v>0.34312490166337334</v>
      </c>
      <c r="E30" s="286">
        <f>(E26-E27)/E6</f>
        <v>0.37544318938786775</v>
      </c>
      <c r="F30" s="286">
        <f>(F26-F27)/F6</f>
        <v>0.3216835154221836</v>
      </c>
      <c r="G30" s="286">
        <f>(G26-G27)/G6</f>
        <v>0.27716975911503927</v>
      </c>
      <c r="H30" s="286">
        <f>(H26-H27)/H6</f>
        <v>0.23503854879271083</v>
      </c>
      <c r="I30" s="286">
        <f>(I26-I27)/I6</f>
        <v>0.19518696163803842</v>
      </c>
      <c r="J30" s="286">
        <f>(J26-J27)/J6</f>
        <v>0.15751610674007496</v>
      </c>
      <c r="K30" s="286">
        <f>(K26-K27)/K6</f>
        <v>0.12193090056744715</v>
      </c>
      <c r="L30" s="286">
        <f>(L26-L27)/L6</f>
        <v>0.09494994026490146</v>
      </c>
      <c r="M30" s="286">
        <f>(M26-M27)/M6</f>
        <v>0.08403480129128515</v>
      </c>
      <c r="N30" s="286">
        <f>(N26-N27)/N6</f>
        <v>0.07368940517481361</v>
      </c>
      <c r="O30" s="286">
        <f>(O26-O27)/O6</f>
        <v>0.06388938335239953</v>
      </c>
      <c r="P30" s="286">
        <f>(P26-P27)/P6</f>
        <v>0.054611316801372434</v>
      </c>
      <c r="Q30" s="286">
        <f>(Q26-Q27)/Q6</f>
        <v>0.04583270099394266</v>
      </c>
      <c r="R30" s="286">
        <f>(R26-R27)/R6</f>
        <v>0.0375319120999235</v>
      </c>
      <c r="S30" s="286">
        <f>(S26-S27)/S6</f>
        <v>0.029688174394354304</v>
      </c>
      <c r="T30" s="286">
        <f>(T26-T27)/T6</f>
        <v>0.022281528828145925</v>
      </c>
      <c r="U30" s="286">
        <f>(U26-U27)/U6</f>
        <v>0.015292802721297889</v>
      </c>
      <c r="V30" s="286">
        <f>(V26-V27)/V6</f>
        <v>0.008703580539617272</v>
      </c>
      <c r="W30" s="286">
        <f>(W26-W27)/W6</f>
        <v>0.0024964714076571525</v>
      </c>
      <c r="X30" s="286">
        <f>(X26-X27)/X6</f>
        <v>1.03114848780144E-17</v>
      </c>
    </row>
    <row r="31" spans="1:24" ht="12.75">
      <c r="A31" s="269" t="s">
        <v>386</v>
      </c>
      <c r="B31" s="270" t="s">
        <v>387</v>
      </c>
      <c r="C31" s="286">
        <f>(C14-C21-C17+C23)/C6</f>
        <v>0.12055639256748715</v>
      </c>
      <c r="D31" s="286">
        <f>(D14-D21-D17)/D6</f>
        <v>0.103310004342176</v>
      </c>
      <c r="E31" s="286">
        <f>(E14-E21-E17)/E6</f>
        <v>0.10959739389808382</v>
      </c>
      <c r="F31" s="286">
        <f>(F14-F21-F17)/F6</f>
        <v>0.09394821536541503</v>
      </c>
      <c r="G31" s="286">
        <f>(G14-G21-G17)/G6</f>
        <v>0.05734580131577169</v>
      </c>
      <c r="H31" s="286">
        <f>(H14-H21-H17)/H6</f>
        <v>0.05277831104581009</v>
      </c>
      <c r="I31" s="286">
        <f>(I14-I21-I17)/I6</f>
        <v>0.04843335875925755</v>
      </c>
      <c r="J31" s="286">
        <f>(J14-J21-J17)/J6</f>
        <v>0.04430170030398641</v>
      </c>
      <c r="K31" s="286">
        <f>(K14-K21-K17)/K6</f>
        <v>0.04037451441184194</v>
      </c>
      <c r="L31" s="286">
        <f>(L14-L21-L17)/L6</f>
        <v>0.030773874853692817</v>
      </c>
      <c r="M31" s="286">
        <f>(M14-M21-M17)/M6</f>
        <v>0.014663968090805342</v>
      </c>
      <c r="N31" s="286">
        <f>(N14-N21-N17)/N6</f>
        <v>0.013612429945863869</v>
      </c>
      <c r="O31" s="286">
        <f>(O14-O21-O17)/O6</f>
        <v>0.012610808188849089</v>
      </c>
      <c r="P31" s="286">
        <f>(P14-P21-P17)/P6</f>
        <v>0.011657053651822112</v>
      </c>
      <c r="Q31" s="286">
        <f>(Q14-Q21-Q17)/Q6</f>
        <v>0.010749195206710062</v>
      </c>
      <c r="R31" s="286">
        <f>(R14-R21-R17)/R6</f>
        <v>0.009885336926808019</v>
      </c>
      <c r="S31" s="286">
        <f>(S14-S21-S17)/S6</f>
        <v>0.009063655348363217</v>
      </c>
      <c r="T31" s="286">
        <f>(T14-T21-T17)/T6</f>
        <v>0.008282396828791054</v>
      </c>
      <c r="U31" s="286">
        <f>(U14-U21-U17)/U6</f>
        <v>0.007539874998189419</v>
      </c>
      <c r="V31" s="286">
        <f>(V14-V21-V17)/V6</f>
        <v>0.006834468300930824</v>
      </c>
      <c r="W31" s="286">
        <f>(W14-W21-W17)/W6</f>
        <v>0.006164315672086837</v>
      </c>
      <c r="X31" s="286">
        <f>(X14-X21-X17)/X6</f>
        <v>0.0024215306820585545</v>
      </c>
    </row>
    <row r="36" spans="1:25" ht="12.75">
      <c r="A36" s="287"/>
      <c r="B36" s="287"/>
      <c r="C36" s="287"/>
      <c r="D36" s="288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</row>
    <row r="37" spans="1:25" ht="12.75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1:25" ht="12.75">
      <c r="A38" s="287"/>
      <c r="B38" s="289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</row>
    <row r="39" spans="1:25" ht="12.75">
      <c r="A39" s="287"/>
      <c r="B39" s="28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87"/>
    </row>
    <row r="40" spans="1:25" ht="12.75">
      <c r="A40" s="287"/>
      <c r="B40" s="287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87"/>
    </row>
    <row r="41" spans="1:25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1:25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1:25" ht="12.75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</row>
    <row r="44" spans="1:25" ht="12.75">
      <c r="A44" s="287"/>
      <c r="B44" s="290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</row>
    <row r="45" spans="1:25" ht="12.75">
      <c r="A45" s="287"/>
      <c r="B45" s="290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</row>
    <row r="46" spans="1:25" ht="12.7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</row>
    <row r="47" spans="1:25" ht="12.75">
      <c r="A47" s="287"/>
      <c r="B47" s="290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</row>
    <row r="48" spans="1:25" ht="12.75">
      <c r="A48" s="287"/>
      <c r="B48" s="290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</row>
    <row r="49" spans="1:25" ht="12.7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91"/>
    </row>
    <row r="50" spans="1:25" ht="12.75">
      <c r="A50" s="287"/>
      <c r="B50" s="287"/>
      <c r="C50" s="287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</row>
    <row r="51" spans="1:25" ht="12.75">
      <c r="A51" s="287"/>
      <c r="B51" s="287"/>
      <c r="C51" s="287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</row>
    <row r="52" spans="1:25" ht="12.75">
      <c r="A52" s="287"/>
      <c r="B52" s="287"/>
      <c r="C52" s="287"/>
      <c r="D52" s="153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</row>
    <row r="53" spans="1:25" ht="12.75">
      <c r="A53" s="287"/>
      <c r="B53" s="287"/>
      <c r="C53" s="287"/>
      <c r="D53" s="153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</row>
    <row r="54" spans="1:25" ht="12.75">
      <c r="A54" s="287"/>
      <c r="B54" s="287"/>
      <c r="C54" s="287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87"/>
    </row>
    <row r="55" spans="1:25" ht="12.75">
      <c r="A55" s="287"/>
      <c r="B55" s="292"/>
      <c r="C55" s="287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87"/>
    </row>
    <row r="56" spans="1:25" ht="12.75">
      <c r="A56" s="287"/>
      <c r="B56" s="287"/>
      <c r="C56" s="287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87"/>
    </row>
    <row r="57" spans="1:25" ht="12.75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</row>
    <row r="58" spans="1:25" ht="12.75">
      <c r="A58" s="287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87"/>
    </row>
    <row r="59" spans="1:25" ht="12.75">
      <c r="A59" s="287"/>
      <c r="B59" s="287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87"/>
    </row>
    <row r="60" spans="1:25" ht="12.75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</row>
    <row r="61" spans="1:25" ht="12.75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</row>
    <row r="62" spans="1:25" ht="12.75">
      <c r="A62" s="287"/>
      <c r="B62" s="287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25" ht="12.75">
      <c r="A63" s="287"/>
      <c r="B63" s="287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</row>
    <row r="64" spans="1:25" ht="12.75">
      <c r="A64" s="287"/>
      <c r="B64" s="287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</row>
    <row r="65" spans="1:25" ht="12.75">
      <c r="A65" s="287"/>
      <c r="B65" s="287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</row>
    <row r="66" spans="1:25" ht="12.75">
      <c r="A66" s="287"/>
      <c r="B66" s="287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</row>
    <row r="67" spans="1:25" ht="12.75">
      <c r="A67" s="287"/>
      <c r="B67" s="287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</row>
    <row r="68" spans="1:25" ht="12.75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</row>
    <row r="69" spans="1:25" ht="12.75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2012-10-09T12:03:40Z</cp:lastPrinted>
  <dcterms:created xsi:type="dcterms:W3CDTF">2010-07-08T12:34:26Z</dcterms:created>
  <dcterms:modified xsi:type="dcterms:W3CDTF">2012-12-06T12:58:13Z</dcterms:modified>
  <cp:category/>
  <cp:version/>
  <cp:contentType/>
  <cp:contentStatus/>
  <cp:revision>169</cp:revision>
</cp:coreProperties>
</file>