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1" activeTab="0"/>
  </bookViews>
  <sheets>
    <sheet name="zał1 do WPF" sheetId="1" r:id="rId1"/>
    <sheet name="zał2 do WPF" sheetId="2" r:id="rId2"/>
    <sheet name="zał3 do WPF" sheetId="3" r:id="rId3"/>
  </sheets>
  <definedNames>
    <definedName name="_xlnm.Print_Area" localSheetId="0">'zał1 do WPF'!$A$1:$AB$45</definedName>
    <definedName name="_xlnm.Print_Area" localSheetId="1">'zał2 do WPF'!$A$1:$Z$57</definedName>
    <definedName name="Excel_BuiltIn_Print_Area">#REF!</definedName>
    <definedName name="Excel_BuiltIn_Print_Area1">#REF!</definedName>
    <definedName name="Excel_BuiltIn_Print_Area2">#REF!</definedName>
    <definedName name="Excel_BuiltIn_Print_Area_4_1">#REF!</definedName>
    <definedName name="Excel_BuiltIn_Print_Area_1_1">'zał1 do WPF'!$A$1:$AB$43</definedName>
    <definedName name="Excel_BuiltIn_Print_Area_2_1">'zał2 do WPF'!$A$1:$Z$54</definedName>
    <definedName name="Excel_BuiltIn_Print_Area_1_1_1">'zał1 do WPF'!$A$1:$AB$44</definedName>
  </definedNames>
  <calcPr fullCalcOnLoad="1"/>
</workbook>
</file>

<file path=xl/sharedStrings.xml><?xml version="1.0" encoding="utf-8"?>
<sst xmlns="http://schemas.openxmlformats.org/spreadsheetml/2006/main" count="274" uniqueCount="191">
  <si>
    <t>Wieloletnia Prognoza Finansowa  dla Gminy Gołdap na lata 2012–2032</t>
  </si>
  <si>
    <t xml:space="preserve">Załącznik nr 1 </t>
  </si>
  <si>
    <t>Lp</t>
  </si>
  <si>
    <t>Wyszczególnienie</t>
  </si>
  <si>
    <t>Lata objęte prognozą finansową</t>
  </si>
  <si>
    <t>Plan na 31.12.2011 r.
dane z III kw</t>
  </si>
  <si>
    <t>Przewidywane wykonanie na  31.12.2011</t>
  </si>
  <si>
    <t>Dochody ogółem, z tego:</t>
  </si>
  <si>
    <t>a</t>
  </si>
  <si>
    <t>dochody bieżące</t>
  </si>
  <si>
    <t>b</t>
  </si>
  <si>
    <t>dochody majątkowe, w tym:</t>
  </si>
  <si>
    <t>c</t>
  </si>
  <si>
    <t xml:space="preserve">   ze sprzedaży majątku</t>
  </si>
  <si>
    <t>Wydatki bieżące (bez odsetek i prowizji od kredytów oraz wyemitowanych papierów wartościowych, czyli kosztów obsługi długu), w tym:</t>
  </si>
  <si>
    <t>na wynagrodzenia i składki od nich naliczane</t>
  </si>
  <si>
    <t>na funkcjonowanie organów JST, w tym:</t>
  </si>
  <si>
    <t>z tytułu gwarancji i poręczeń, w tym:</t>
  </si>
  <si>
    <t>d</t>
  </si>
  <si>
    <t>gwarancje i poręczenia podlegające wyłączeniu z limitów spłaty zobowiązań</t>
  </si>
  <si>
    <t>e</t>
  </si>
  <si>
    <t>wydatki bieżące objęte limitem na przedsięwzięcia</t>
  </si>
  <si>
    <t>Wynik budżetu po zaplanowaniu wydatków bieżących (bez obsługi długu)  poz.1– poz. 2</t>
  </si>
  <si>
    <t>Nadwyżka budżetowa z lat ubiegłych + wolne środki, w tym:</t>
  </si>
  <si>
    <t>nadwyżka budżetowa z lat ubiegłych + wolne środki angażowane na pokrycie deficytu budżetu roku bieżącego</t>
  </si>
  <si>
    <t>Inne przychody niezwiązane z zaciągnięciem długu</t>
  </si>
  <si>
    <t>Środki do dyspozycji (suma poz. 3 +poz. 4+ poz. 5)</t>
  </si>
  <si>
    <t>Spłata i obsługa długu, z tego:</t>
  </si>
  <si>
    <t xml:space="preserve">rozchody z tytułu spłaty rat kapitałowych oraz wykupu papierów wartościowych </t>
  </si>
  <si>
    <t>wydatki bieżące na obsługę długu:</t>
  </si>
  <si>
    <t>Inne rozchody (bez spłaty długu)</t>
  </si>
  <si>
    <t>Środki do dyspozycji na wydatki majątkowe (poz. 6–poz. 7–poz. 8)</t>
  </si>
  <si>
    <t>Wydatki majątkowe, w tym:</t>
  </si>
  <si>
    <t>wydatki majątkowe objęte limitem</t>
  </si>
  <si>
    <t>Przychody z kredytów, pożyczek i emisji obligacji</t>
  </si>
  <si>
    <t>Wynik finansowy budżetu (poz. 9 – poz.10 + poz. 11)</t>
  </si>
  <si>
    <t>Kwota długu na koniec roku, w tym:</t>
  </si>
  <si>
    <t>łączna kwota wyłączeń z art. 243 ust. 3 pkt 1 ufp oraz art. 170 ust. 3 sufp</t>
  </si>
  <si>
    <t>kwota wyłączeń z art. 243 ust. 3 pkt 1 ufp oraz art. 169 ust. 3 sufat przypadająca na dany rok budżetowy</t>
  </si>
  <si>
    <t>Kwota zobowiązań związku współtworzonego przez jst przypadających do spłaty w danym roku budżetowym podlegających do doliczenia z art. 244 ufp</t>
  </si>
  <si>
    <t>Planowana łączna kwota spłaty zobowiązań</t>
  </si>
  <si>
    <t xml:space="preserve">Maksymalny dopuszczalny wskaźnik spłaty z art.. 243 </t>
  </si>
  <si>
    <t>x</t>
  </si>
  <si>
    <t>Spełnienie wskaźnika spłaty z art. 243 po uwzględnieniu art.. 244</t>
  </si>
  <si>
    <t>TAK</t>
  </si>
  <si>
    <t>Planowana łaczna kwota spłaty zobowiązań/dochody ogółem /max 15% art.. 169 sufp/</t>
  </si>
  <si>
    <t>Zadłuzenie/dochody ogółem (poz. 13-poz. 13a):poz. 1 /max. 60% art.. 170 sufp/</t>
  </si>
  <si>
    <t>Wydatki bieżące razem (poz. 2 + poz. 7b)</t>
  </si>
  <si>
    <t>Wydatki ogółem (poz. 10+ poz. 19)</t>
  </si>
  <si>
    <t>Wynik budżetu (poz. 1 – poz. 20)</t>
  </si>
  <si>
    <t>Przychody budżetu</t>
  </si>
  <si>
    <t>Rozchody budżetu (poz. 7a + poz. 8)</t>
  </si>
  <si>
    <t>Sporządził Piotr Komocki</t>
  </si>
  <si>
    <t>wyd bieżące z zał nr 2</t>
  </si>
  <si>
    <t xml:space="preserve">odsetki </t>
  </si>
  <si>
    <t xml:space="preserve">Prowizje  od kredytu </t>
  </si>
  <si>
    <t>Odsetki + prowizje</t>
  </si>
  <si>
    <t>Wyd – odsetki  WIERSZ 10</t>
  </si>
  <si>
    <t>nadwyżka z roku bieżącego (zał2)</t>
  </si>
  <si>
    <t>wolne środki</t>
  </si>
  <si>
    <t xml:space="preserve">Załącznik nr 2 </t>
  </si>
  <si>
    <t>Prognoza kwoty długu i spłat zobowiązań  na lata 2012-2032</t>
  </si>
  <si>
    <t>Burmistrza Gołdapi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</si>
  <si>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</si>
  <si>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Wykonanie na 31.12.2008 r.</t>
  </si>
  <si>
    <t>Wykonanie na 31.12.2009 r.</t>
  </si>
  <si>
    <t>Wykonanie na 31.12.2010 r.</t>
  </si>
  <si>
    <t>Plan na 31.12.2012 r.</t>
  </si>
  <si>
    <t>Plan na 31.12.2013 r.</t>
  </si>
  <si>
    <t>Plan na 31.12.2014 r.</t>
  </si>
  <si>
    <t>Plan na 31.12.2015 r.</t>
  </si>
  <si>
    <t>Plan na 31.12.2016 r.</t>
  </si>
  <si>
    <t>Plan na 31.12.2017 r.</t>
  </si>
  <si>
    <t>Plan na 31.12.2018 r.</t>
  </si>
  <si>
    <t>Plan na 31.12.2019 r.</t>
  </si>
  <si>
    <t>Plan na 31.12.2020 r.</t>
  </si>
  <si>
    <t>Plan na 31.12.2021 r.</t>
  </si>
  <si>
    <t>Plan na 31.12.2022 r.</t>
  </si>
  <si>
    <t>Plan na 31.12.2023 r.</t>
  </si>
  <si>
    <t>Plan na 31.12.2024 r.</t>
  </si>
  <si>
    <t>Plan na 31.12.2025 r.</t>
  </si>
  <si>
    <t>Plan na 31.12.2026 r.</t>
  </si>
  <si>
    <t>Plan na 31.12.2027 r.</t>
  </si>
  <si>
    <t>Plan na 31.12.2028 r.</t>
  </si>
  <si>
    <t>Plan na 31.12.2029 r.</t>
  </si>
  <si>
    <t>Plan na 31.12.2030 r.</t>
  </si>
  <si>
    <t>z dnia 26 lipca  2031 r</t>
  </si>
  <si>
    <t>Plan na 31.12.2032 r.</t>
  </si>
  <si>
    <t>A. Dochody ogółem, z tego:</t>
  </si>
  <si>
    <t>A.1. Dochody bieżące</t>
  </si>
  <si>
    <t>A.2. Dochody majątkowe, w tym:</t>
  </si>
  <si>
    <t>A.2.1. Dochody ze sprzedaży majątku</t>
  </si>
  <si>
    <t>B. Wydatki ogółem, z tego:</t>
  </si>
  <si>
    <t>B.1. Wydatki bieżące</t>
  </si>
  <si>
    <t>B.2. Wydatki majątkowe</t>
  </si>
  <si>
    <t>C. Wynik budżetu (A-B)</t>
  </si>
  <si>
    <t>D. Finansowanie (D.1. - D.2.)</t>
  </si>
  <si>
    <t>D.1. Przychody ogółem, z tego:</t>
  </si>
  <si>
    <t>D.1.1. Kredyty i pożyczki, w tym:</t>
  </si>
  <si>
    <t>D.1.1.1. Kredyty i pożyczki zaciągane na zadania finansowane z udziałem środków UE i EFTA*</t>
  </si>
  <si>
    <t>D.1.2. Emitowane papiery wartościowe, w tym:</t>
  </si>
  <si>
    <t>D.1.2.1. Papiery wartościowe emitowane na zadania finansowane z udziałem środków UE i EFTA*</t>
  </si>
  <si>
    <t>D.1.3. Zwrot pożyczek udzielonych</t>
  </si>
  <si>
    <t>D.1.4. Przychody z prywatyzacji</t>
  </si>
  <si>
    <t>D.1.5. Nadwyżka z lat ubiegłych</t>
  </si>
  <si>
    <t>D.1.6. Wolne środki**</t>
  </si>
  <si>
    <t>D.1.7. Inne źródła</t>
  </si>
  <si>
    <t>D.2. Rozchody ogółem, z tego:</t>
  </si>
  <si>
    <t>D.2.1. Spłaty kredytów i pożyczek, w tym:</t>
  </si>
  <si>
    <t>D.2.1.1. Spłaty kredytów i pożyczek zaciąganych na zadania finansowane z udziałem środków UE i EFTA*</t>
  </si>
  <si>
    <t>D.2.2. Wykup papierów wartościowych, w tym:</t>
  </si>
  <si>
    <t>D.2.2.1. Wykup papierów wartościowych  wyemitowanych na zadania finansowane z udziałem środków UE i EFTA*</t>
  </si>
  <si>
    <t>D.2.3. Udzielone pożyczki</t>
  </si>
  <si>
    <t>D.2.4. Inne rozchody (np. przelewy na rachunki lokat)</t>
  </si>
  <si>
    <t>E. Umorzenia pożyczek</t>
  </si>
  <si>
    <t xml:space="preserve">  </t>
  </si>
  <si>
    <t>F. Udzielone poręczenia, w tym:</t>
  </si>
  <si>
    <t>F.1. Potencjalne spłaty kwot wynikających z udzielonych poręczeń oraz gwarancji przypadające w danym roku budżetowym, w tym:</t>
  </si>
  <si>
    <t>F.1.1. Potencjalne spłaty kwot wynikających z poręczeń i gwarancji udzielonych samorządowym osobom prawnym realizującym zadania j.s.t. finansowane z udziałem środków UE i EFTA*</t>
  </si>
  <si>
    <t>G. Obciążenia związane z posiadanymi zobowiązaniami (bez poz D.2.1.1, D.2.2.1, F.1.1.), z tego:</t>
  </si>
  <si>
    <t>G.1. Spłaty rat kredytów i pożyczek (D.2.1. - D.2.1.1.)</t>
  </si>
  <si>
    <t>G.2. Spłaty odsetek od kredytów i pożyczek</t>
  </si>
  <si>
    <t>G.3. Wykup papierów wartościowych (D.2.2. - D.2.2.1.)</t>
  </si>
  <si>
    <t>G.4. Odsetki i dyskonto od papierów wartościowych</t>
  </si>
  <si>
    <t>G.5. Potencjalne spłaty kwot wynikających z udzielonych poręczeń oraz gwarancji przypadające w danym roku budżetowym (F.1. - F.1.1.)</t>
  </si>
  <si>
    <t>G.6. Kwoty zobowiązań związku współtworzonego przez j.s.t. przypadające do spłaty w danym roku budżetowym</t>
  </si>
  <si>
    <t>H. Wskaźnik obsługi długu (G : A)</t>
  </si>
  <si>
    <t>I. Łączna kwota długu na koniec roku budżetowego, z tego:</t>
  </si>
  <si>
    <t>I.1. Papiery wartościowe, w tym:</t>
  </si>
  <si>
    <t>I.1.1. Papiery wartościowe wyemitowane na zadania finansowane z udziałem środków UE i EFTA*</t>
  </si>
  <si>
    <t>I.2. Kredyty i pożyczki, w tym:</t>
  </si>
  <si>
    <t>I.2.1. Kredyty i pożyczki zaciągnięte na zadania finansowane z udziałem środków UE i EFTA*</t>
  </si>
  <si>
    <t>I.3. Przyjęte depozyty</t>
  </si>
  <si>
    <t>I.4. Wymagalne zobowiązania</t>
  </si>
  <si>
    <t>J. Wskaźnik długu (I. - I.1.1. - I.2.1.) : A</t>
  </si>
  <si>
    <t>K. Średnia arytmetyczna z ostatnich trzech lat, o której mowa w art. 243 ustawy z 27 sierpnia 2009r.</t>
  </si>
  <si>
    <t>X</t>
  </si>
  <si>
    <t>L. Czy spełniony jest warunek, o którym mowa w art. 243 ustawy z 27 sierpnia 2009r. dla danego roku</t>
  </si>
  <si>
    <t>*  Kredyty, pożyczki i papiery wartościowe zaciągane i emitowane na zadania finansowane z udziałem środków UE i EFTA - w latach 2010-2013 w związku z umową zawartą z podmiotami dysponującymi środkami, o których mowa w art. 5 ust. 3 ustawy z dnia 30 czerwca 2005 r. o finansach publicznych, tj. środkami pochodzącymi z budżetu Unii Europejskiej oraz niepodlegającymi zwrotowi środkami z pomocy udzielonej przez państwa członkowskie Europejskiego Porozumienia o Wolnym Handlu (EFTA), a w latach 2014 i następnych zaciągane i emitowane w związku z umową zawartą na realizację programu, projektu lub zadania finansowanego z udziałem środków pochodzących z budżetu Unii Europejskiej oraz niepodlegających zwrotowi środków z pomocy udzielanej przez państwa członkowskie EFTA, z wyłączeniem odsetek od tych zobowiązań. Pozycje w tych wierszach wypełniać z zachowaniem przepisów art. 170 ust. 4 ustawy  z dnia 30 czerwca 2005 r. o finansach publicznych i art. 243 ust. 3 ustawy z dnia 27 sierpnia 2009 o finansach publicznych - to znaczy, wypełniać tylko w tych latach, w których nie stosuje się do tych wielkości ograniczeń stanu zadłużenia albo obsługi zadłużenia. **  Wolne środki - nadwyżki środków pieniężnych na rachunku bieżącym budżetu j.s.t. wynikające z rozliczeń wyemitowanych papierów wartościowych, kredytów i pożyczek z lat ubiegłych.</t>
  </si>
  <si>
    <t>Dochody bieżące-wydatki bieżące+ wolne śr.</t>
  </si>
  <si>
    <t>Na 31.12.2010</t>
  </si>
  <si>
    <t>Spłaty kredytów zaciągniętych do 2010 włącznie</t>
  </si>
  <si>
    <t>W 2011 na 21 lat</t>
  </si>
  <si>
    <t>W 2012 na 20 lat</t>
  </si>
  <si>
    <t>w tym :</t>
  </si>
  <si>
    <t>Na 31.12.2009</t>
  </si>
  <si>
    <t xml:space="preserve">Spłaty kredytów   U.E. zaciągniętych do 2010 </t>
  </si>
  <si>
    <t>W 2010 na 10 lat</t>
  </si>
  <si>
    <t xml:space="preserve">Załącznik nr 3 </t>
  </si>
  <si>
    <t>Do Uchwały  Nr XV/98/2011
Rady Miejskiej
z dnia 29 grudnia 2011r.</t>
  </si>
  <si>
    <t>Wykaz przedsięwzięć realizowanych przez Gminę Gołdap w latach 2012- 2015</t>
  </si>
  <si>
    <t xml:space="preserve">Nazwa i cel </t>
  </si>
  <si>
    <t>jednostka odpowiedzialna</t>
  </si>
  <si>
    <t>okres realizacji 
(w wierszu program/umowa)</t>
  </si>
  <si>
    <t>łączne nakłady finansowe</t>
  </si>
  <si>
    <t>limity wydatków w poszczególnych latach (wszystkie lata)</t>
  </si>
  <si>
    <t>Limit zobowiązań</t>
  </si>
  <si>
    <t>Od</t>
  </si>
  <si>
    <t>Do</t>
  </si>
  <si>
    <t>Przedsięwzięcia ogółem</t>
  </si>
  <si>
    <t xml:space="preserve"> - wydatki bieżące</t>
  </si>
  <si>
    <t xml:space="preserve"> 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</si>
  <si>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</si>
  <si>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</si>
  <si>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 xml:space="preserve"> - wydatki bieżące </t>
  </si>
  <si>
    <t xml:space="preserve"> - wydatki majątkowe </t>
  </si>
  <si>
    <r>
      <t xml:space="preserve">Program nr 1 
Modernizacja ujęcia wodnego w Gołdapi MASTERPLAN  dla wielkich jezior Mazurskich, 
</t>
    </r>
    <r>
      <rPr>
        <sz val="11"/>
        <color indexed="8"/>
        <rFont val="Arial"/>
        <family val="2"/>
      </rPr>
      <t>Cel:
Modernizacja systemu zbiorowego zaopatrzenia w wodę</t>
    </r>
  </si>
  <si>
    <t>Wydział Infrastruktury Komunalnej w Urzędzie Miejskim w Gołdapi</t>
  </si>
  <si>
    <r>
      <t xml:space="preserve">Program nr 2 
Budowa wodociągów wiejskich w Gminie Gołdap
Pogorzel-Kozaki, Galwiecie-Botkuny, Grabowo-Kolonia
</t>
    </r>
    <r>
      <rPr>
        <sz val="11"/>
        <color indexed="8"/>
        <rFont val="Arial"/>
        <family val="2"/>
      </rPr>
      <t xml:space="preserve">Cel:
Poprawa infrastruktury warunkującej rozwój gospodarczy oraz lepsze warunki życia mieszkańców jedenastu miejscowości w Gminie Gołdap </t>
    </r>
  </si>
  <si>
    <r>
      <t>Program nr 3</t>
    </r>
    <r>
      <rPr>
        <sz val="11"/>
        <color indexed="8"/>
        <rFont val="Arial"/>
        <family val="2"/>
      </rPr>
      <t xml:space="preserve"> 
</t>
    </r>
    <r>
      <rPr>
        <b/>
        <sz val="11"/>
        <color indexed="8"/>
        <rFont val="Arial"/>
        <family val="2"/>
      </rPr>
      <t xml:space="preserve">Budowa pijalni wód mineralnych w uzdrowisku Gołdap z wykonaniem podziemnego ujęcia wód leczniczych,
</t>
    </r>
    <r>
      <rPr>
        <sz val="11"/>
        <color indexed="8"/>
        <rFont val="Arial"/>
        <family val="2"/>
      </rPr>
      <t>Cel:
Pełne wykorzystanie naturalnych walorów środowiska gminy dla zapewnienia wzrostu zamożności społeczeństwa. Rozwój infrastruktury uzdrowiskowej</t>
    </r>
  </si>
  <si>
    <r>
      <t xml:space="preserve">Program nr 4 
Rozwój funkcji uzdrowiskowej poprzez urządzenie plaży i budowę parku zdrojowego i kinezyterapeutycznego w Gołdapi
</t>
    </r>
    <r>
      <rPr>
        <sz val="11"/>
        <color indexed="8"/>
        <rFont val="Arial"/>
        <family val="2"/>
      </rPr>
      <t>Cel:
Pełne wykorzystanie naturalnych  walorów środowiska gminy dla zapewnienia wzrostu zamożności społeczeństwa. Rozwój infrastruktury uzdrowiskowej</t>
    </r>
  </si>
  <si>
    <r>
      <t xml:space="preserve">Program nr 5 
Wykonanie odwiertu solankowego i budowa tężni iw parku zdrojowym w Gołdapi
</t>
    </r>
    <r>
      <rPr>
        <sz val="11"/>
        <color indexed="8"/>
        <rFont val="Arial"/>
        <family val="2"/>
      </rPr>
      <t>Cel:
Pełne wykorzystanie naturalnych  walorów środowiska gminy dla zapewnienia wzrostu zamożności społeczeństwa. Rozwój infrastruktury uzdrowiskowej</t>
    </r>
  </si>
  <si>
    <r>
      <t xml:space="preserve">Program nr 6 Rekultywacja jeziora Gołdap
</t>
    </r>
    <r>
      <rPr>
        <sz val="11"/>
        <color indexed="8"/>
        <rFont val="Arial"/>
        <family val="2"/>
      </rPr>
      <t>Cel:
Odbudowa zdegradowanego ekosystemu, poprawa stanu wód</t>
    </r>
  </si>
  <si>
    <r>
      <t xml:space="preserve">Program nr 7 Odnowa wsi Galwiecie
</t>
    </r>
    <r>
      <rPr>
        <sz val="11"/>
        <color indexed="8"/>
        <rFont val="Arial"/>
        <family val="2"/>
      </rPr>
      <t>Cel: 
Stworzenie infrastruktury społecznej, która podniesie standard życia mieszkańców, wpłynie na atrakcyjność zamieszkania, stworzy warunki rozwoju ludności oraz zaktywizuje ich zawodowo</t>
    </r>
  </si>
  <si>
    <r>
      <t xml:space="preserve">Program nr 8 Odnowa i rozwój wsi Wronki Wielkie, Rożyńsk Mały
</t>
    </r>
    <r>
      <rPr>
        <sz val="11"/>
        <color indexed="8"/>
        <rFont val="Arial"/>
        <family val="2"/>
      </rPr>
      <t>Cel: 
Stworzenie infrastruktury społecznej, która podniesie standard życia mieszkańców, wpłynie na atrakcyjność zamieszkania, stworzy warunki rozwoju ludności oraz zaktywizuje ich zawodowo</t>
    </r>
  </si>
  <si>
    <r>
      <t xml:space="preserve">Program nr 9 
Modernizacja i rozbudowa regionalnego systemu informacji turystycznej
</t>
    </r>
    <r>
      <rPr>
        <sz val="11"/>
        <color indexed="8"/>
        <rFont val="Arial"/>
        <family val="2"/>
      </rPr>
      <t>Cel:
W ramach projektu zmodernizowany zostanie regionalny system informacji turystycznej, którego zadaniem będzie ukierunkowywanie ruchu turystycznego na wskazane i promowane zasoby turystyczne Warmii i Mazur.</t>
    </r>
  </si>
  <si>
    <t>Urząd Miejski</t>
  </si>
  <si>
    <r>
      <t xml:space="preserve">Program nr 10
Wsparcie na starcie oddziałów przedszkolnych z terenów wiejskich Gminy Gołdap
</t>
    </r>
    <r>
      <rPr>
        <sz val="11"/>
        <color indexed="8"/>
        <rFont val="Arial"/>
        <family val="2"/>
      </rPr>
      <t>Cel:
Wyrównanie szans edukacyjnych i zapewnienie wysokiej jakości usług edukacyjnych świadczonych w systemie oświaty</t>
    </r>
  </si>
  <si>
    <t>Szkoła Podstawowa w Boćwince</t>
  </si>
  <si>
    <r>
      <t xml:space="preserve">Program nr 11
Mały Archimedes
</t>
    </r>
    <r>
      <rPr>
        <sz val="11"/>
        <color indexed="8"/>
        <rFont val="Arial"/>
        <family val="2"/>
      </rPr>
      <t>Cel:
Program rozwijania umiejętności uczniów w zakresie kompetencji kluczowych nauk matematyczno-przyrodniczych i przedsiębiorczości</t>
    </r>
  </si>
  <si>
    <t>Gimnazjum</t>
  </si>
  <si>
    <r>
      <t xml:space="preserve">Program nr 12
Platforma współpracy EGO SA Lider Ełk
</t>
    </r>
    <r>
      <rPr>
        <sz val="11"/>
        <color indexed="8"/>
        <rFont val="Arial"/>
        <family val="2"/>
      </rPr>
      <t>Cel:
Rozwój stałej i trwałej struktury współpracy w Polsce Północno-Wschodniej z samorządami ościennymi</t>
    </r>
  </si>
  <si>
    <r>
      <t xml:space="preserve">Program nr 13
Turystyczna sieć współpracy-klaster „Suwalszczyzna-Mazury”
</t>
    </r>
    <r>
      <rPr>
        <sz val="11"/>
        <color indexed="8"/>
        <rFont val="Arial"/>
        <family val="2"/>
      </rPr>
      <t>Cel:
Podjęcie  inicjatyw promujących postawy przedsiębiorcze</t>
    </r>
  </si>
  <si>
    <t>b) programy, projekty lub zadania związane z umowami partnerstwa publiczno-prywatnego; (razem)</t>
  </si>
  <si>
    <t>c) programy, projekty lub zadania pozostałe (inne niż wymienione w lit.a i b) (razem)</t>
  </si>
  <si>
    <r>
      <t xml:space="preserve">Program nr 1
Budowa cmentarza komunalnego
</t>
    </r>
    <r>
      <rPr>
        <sz val="11"/>
        <color indexed="8"/>
        <rFont val="Arial"/>
        <family val="2"/>
      </rPr>
      <t>Cel:
Zwiększenie ilości miejsc pochówku</t>
    </r>
  </si>
  <si>
    <r>
      <t xml:space="preserve">Program nr 2 Dokumentacja i modernizacja ulicy Sosnowej, Cisowej, Jaworowej i Akacjowej w Gołdapi
</t>
    </r>
    <r>
      <rPr>
        <sz val="11"/>
        <color indexed="8"/>
        <rFont val="Arial"/>
        <family val="2"/>
      </rPr>
      <t>Cel: 
Usprawnienie połączeń komunikacyjnych, poprawa jakości i bezpieczeństwa ruchu drogowego</t>
    </r>
  </si>
  <si>
    <r>
      <t xml:space="preserve">Program nr 3 Kanalizacja burzowa ul. Kościuszki, Kombatantów i Źródlana
</t>
    </r>
    <r>
      <rPr>
        <sz val="11"/>
        <color indexed="8"/>
        <rFont val="Arial"/>
        <family val="2"/>
      </rPr>
      <t xml:space="preserve">Cel: 
Ochrona przeciwpowodziowa </t>
    </r>
  </si>
  <si>
    <t>2) umowy, których realizacja w roku budżetowym i w latach następnych jest niezbędna dla zapewnienia ciągłości działania jednostki i których płatności przypadają w okresie dłuższym niż rok; (razem)</t>
  </si>
  <si>
    <t>3) gwarancje i poręczenia udzielane przez jednostki samorządu terytorialnego(razem)</t>
  </si>
  <si>
    <r>
      <t xml:space="preserve">Umowa nr 1 
Poręczenie kredytu na rzecz Przedsiębiorstwa Wodociągów i kanalizacji w Gołdapi Sp. Z o.o. W której 100% udziałów posiada Gmina Gołdap, Kredyt zaciągnięty został na rozbudowę oczyszczalni ścieków
</t>
    </r>
    <r>
      <rPr>
        <sz val="11"/>
        <color indexed="8"/>
        <rFont val="Arial"/>
        <family val="2"/>
      </rPr>
      <t>Cel:
Umożliwienie zaciągnięcia kredytu na modernizację oczyszczalni ścieków</t>
    </r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</si>
</sst>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"/>
    <numFmt numFmtId="166" formatCode="#,##0.00"/>
    <numFmt numFmtId="167" formatCode="0.00%"/>
    <numFmt numFmtId="168" formatCode="#,##0.0000"/>
    <numFmt numFmtId="169" formatCode="#,##0.00;[RED]\-#,##0.00"/>
    <numFmt numFmtId="170" formatCode="#,###.00"/>
    <numFmt numFmtId="171" formatCode="#,##0;[RED]\-#,##0"/>
    <numFmt numFmtId="172" formatCode="#,##0.00\ [$zł-415];[RED]\-#,##0.00\ [$zł-415]"/>
  </numFmts>
  <fonts count="32">
    <font>
      <sz val="10"/>
      <name val="Arial"/>
      <family val="2"/>
    </font>
    <font>
      <b/>
      <sz val="12"/>
      <color indexed="8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0"/>
      <color indexed="8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indexed="8"/>
      <name val="Czcionka tekstu podstawowego"/>
      <family val="2"/>
    </font>
    <font>
      <sz val="16"/>
      <color indexed="8"/>
      <name val="Czcionka tekstu podstawowego"/>
      <family val="0"/>
    </font>
    <font>
      <sz val="10"/>
      <name val="Times New Roman"/>
      <family val="1"/>
    </font>
    <font>
      <b/>
      <sz val="16"/>
      <color indexed="8"/>
      <name val="Czcionka tekstu podstawowego"/>
      <family val="0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sz val="14"/>
      <color indexed="8"/>
      <name val="Czcionka tekstu podstawowego"/>
      <family val="2"/>
    </font>
    <font>
      <b/>
      <sz val="14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2"/>
      <color indexed="8"/>
      <name val="Czcionka tekstu podstawowego"/>
      <family val="2"/>
    </font>
    <font>
      <sz val="14"/>
      <color indexed="8"/>
      <name val="Arial"/>
      <family val="2"/>
    </font>
    <font>
      <b/>
      <u val="single"/>
      <sz val="10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Czcionka tekstu podstawowego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b/>
      <i/>
      <sz val="11"/>
      <color indexed="8"/>
      <name val="Arial"/>
      <family val="2"/>
    </font>
    <font>
      <sz val="9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3">
    <xf numFmtId="164" fontId="0" fillId="0" borderId="0" xfId="0" applyAlignment="1">
      <alignment/>
    </xf>
    <xf numFmtId="164" fontId="1" fillId="0" borderId="0" xfId="0" applyFont="1" applyBorder="1" applyAlignment="1">
      <alignment horizontal="left"/>
    </xf>
    <xf numFmtId="164" fontId="0" fillId="0" borderId="0" xfId="0" applyAlignment="1">
      <alignment horizontal="left"/>
    </xf>
    <xf numFmtId="164" fontId="2" fillId="0" borderId="0" xfId="0" applyFont="1" applyAlignment="1">
      <alignment horizontal="left" wrapText="1"/>
    </xf>
    <xf numFmtId="164" fontId="0" fillId="0" borderId="0" xfId="0" applyFont="1" applyBorder="1" applyAlignment="1">
      <alignment horizontal="left" wrapText="1"/>
    </xf>
    <xf numFmtId="165" fontId="0" fillId="0" borderId="0" xfId="0" applyNumberFormat="1" applyAlignment="1">
      <alignment/>
    </xf>
    <xf numFmtId="164" fontId="0" fillId="0" borderId="0" xfId="0" applyBorder="1" applyAlignment="1">
      <alignment wrapText="1"/>
    </xf>
    <xf numFmtId="164" fontId="3" fillId="0" borderId="1" xfId="0" applyFont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 wrapText="1"/>
    </xf>
    <xf numFmtId="164" fontId="3" fillId="2" borderId="1" xfId="0" applyFont="1" applyFill="1" applyBorder="1" applyAlignment="1" applyProtection="1">
      <alignment horizontal="center" vertical="center" wrapText="1"/>
      <protection locked="0"/>
    </xf>
    <xf numFmtId="164" fontId="3" fillId="3" borderId="1" xfId="0" applyFont="1" applyFill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left"/>
    </xf>
    <xf numFmtId="166" fontId="0" fillId="0" borderId="1" xfId="0" applyNumberFormat="1" applyFont="1" applyBorder="1" applyAlignment="1">
      <alignment horizontal="right" vertical="center"/>
    </xf>
    <xf numFmtId="166" fontId="0" fillId="4" borderId="1" xfId="0" applyNumberFormat="1" applyFont="1" applyFill="1" applyBorder="1" applyAlignment="1">
      <alignment horizontal="right" vertical="center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left"/>
    </xf>
    <xf numFmtId="166" fontId="4" fillId="2" borderId="1" xfId="0" applyNumberFormat="1" applyFont="1" applyFill="1" applyBorder="1" applyAlignment="1" applyProtection="1">
      <alignment vertical="center"/>
      <protection locked="0"/>
    </xf>
    <xf numFmtId="166" fontId="0" fillId="0" borderId="1" xfId="0" applyNumberFormat="1" applyFont="1" applyFill="1" applyBorder="1" applyAlignment="1">
      <alignment horizontal="right" vertical="center"/>
    </xf>
    <xf numFmtId="164" fontId="3" fillId="0" borderId="1" xfId="0" applyFont="1" applyBorder="1" applyAlignment="1">
      <alignment horizontal="left" wrapText="1"/>
    </xf>
    <xf numFmtId="164" fontId="0" fillId="0" borderId="1" xfId="0" applyFont="1" applyBorder="1" applyAlignment="1">
      <alignment horizontal="left" wrapText="1"/>
    </xf>
    <xf numFmtId="166" fontId="4" fillId="3" borderId="1" xfId="0" applyNumberFormat="1" applyFont="1" applyFill="1" applyBorder="1" applyAlignment="1" applyProtection="1">
      <alignment vertical="center"/>
      <protection locked="0"/>
    </xf>
    <xf numFmtId="166" fontId="0" fillId="3" borderId="1" xfId="0" applyNumberFormat="1" applyFont="1" applyFill="1" applyBorder="1" applyAlignment="1">
      <alignment horizontal="right" vertical="center"/>
    </xf>
    <xf numFmtId="166" fontId="0" fillId="2" borderId="1" xfId="0" applyNumberFormat="1" applyFont="1" applyFill="1" applyBorder="1" applyAlignment="1">
      <alignment horizontal="right" vertical="center"/>
    </xf>
    <xf numFmtId="165" fontId="0" fillId="4" borderId="1" xfId="0" applyNumberFormat="1" applyFont="1" applyFill="1" applyBorder="1" applyAlignment="1">
      <alignment horizontal="right" vertical="center"/>
    </xf>
    <xf numFmtId="166" fontId="0" fillId="0" borderId="1" xfId="0" applyNumberFormat="1" applyFont="1" applyBorder="1" applyAlignment="1">
      <alignment horizontal="right" vertical="center" wrapText="1"/>
    </xf>
    <xf numFmtId="166" fontId="0" fillId="4" borderId="1" xfId="0" applyNumberFormat="1" applyFont="1" applyFill="1" applyBorder="1" applyAlignment="1">
      <alignment horizontal="right" vertical="center" wrapText="1"/>
    </xf>
    <xf numFmtId="166" fontId="0" fillId="2" borderId="1" xfId="0" applyNumberFormat="1" applyFont="1" applyFill="1" applyBorder="1" applyAlignment="1">
      <alignment horizontal="right" vertical="center" wrapText="1"/>
    </xf>
    <xf numFmtId="167" fontId="0" fillId="0" borderId="1" xfId="0" applyNumberFormat="1" applyFont="1" applyBorder="1" applyAlignment="1">
      <alignment horizontal="center" vertical="center"/>
    </xf>
    <xf numFmtId="167" fontId="0" fillId="4" borderId="1" xfId="0" applyNumberFormat="1" applyFont="1" applyFill="1" applyBorder="1" applyAlignment="1">
      <alignment horizontal="center" vertical="center"/>
    </xf>
    <xf numFmtId="164" fontId="3" fillId="0" borderId="1" xfId="0" applyFont="1" applyBorder="1" applyAlignment="1">
      <alignment horizontal="center" vertical="center" wrapText="1"/>
    </xf>
    <xf numFmtId="168" fontId="0" fillId="4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0" fillId="4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left" wrapText="1"/>
    </xf>
    <xf numFmtId="167" fontId="5" fillId="0" borderId="1" xfId="0" applyNumberFormat="1" applyFont="1" applyBorder="1" applyAlignment="1">
      <alignment horizontal="center" vertical="center"/>
    </xf>
    <xf numFmtId="167" fontId="5" fillId="4" borderId="1" xfId="0" applyNumberFormat="1" applyFont="1" applyFill="1" applyBorder="1" applyAlignment="1">
      <alignment horizontal="center" vertical="center"/>
    </xf>
    <xf numFmtId="164" fontId="3" fillId="0" borderId="1" xfId="0" applyFont="1" applyBorder="1" applyAlignment="1">
      <alignment horizontal="left" vertical="top" wrapText="1"/>
    </xf>
    <xf numFmtId="169" fontId="3" fillId="0" borderId="1" xfId="0" applyNumberFormat="1" applyFont="1" applyBorder="1" applyAlignment="1">
      <alignment vertical="center"/>
    </xf>
    <xf numFmtId="169" fontId="3" fillId="4" borderId="1" xfId="0" applyNumberFormat="1" applyFont="1" applyFill="1" applyBorder="1" applyAlignment="1">
      <alignment vertical="center"/>
    </xf>
    <xf numFmtId="164" fontId="3" fillId="0" borderId="1" xfId="0" applyFont="1" applyBorder="1" applyAlignment="1">
      <alignment/>
    </xf>
    <xf numFmtId="164" fontId="6" fillId="0" borderId="1" xfId="0" applyFont="1" applyBorder="1" applyAlignment="1">
      <alignment horizontal="center" vertical="center"/>
    </xf>
    <xf numFmtId="164" fontId="6" fillId="0" borderId="1" xfId="0" applyFont="1" applyBorder="1" applyAlignment="1">
      <alignment/>
    </xf>
    <xf numFmtId="169" fontId="6" fillId="0" borderId="1" xfId="0" applyNumberFormat="1" applyFont="1" applyBorder="1" applyAlignment="1">
      <alignment vertical="center"/>
    </xf>
    <xf numFmtId="169" fontId="6" fillId="4" borderId="1" xfId="0" applyNumberFormat="1" applyFont="1" applyFill="1" applyBorder="1" applyAlignment="1">
      <alignment vertical="center"/>
    </xf>
    <xf numFmtId="164" fontId="0" fillId="0" borderId="0" xfId="0" applyFont="1" applyBorder="1" applyAlignment="1">
      <alignment horizontal="center"/>
    </xf>
    <xf numFmtId="164" fontId="0" fillId="0" borderId="0" xfId="0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165" fontId="0" fillId="0" borderId="0" xfId="0" applyNumberFormat="1" applyFont="1" applyAlignment="1" applyProtection="1">
      <alignment horizontal="right"/>
      <protection hidden="1"/>
    </xf>
    <xf numFmtId="170" fontId="0" fillId="0" borderId="0" xfId="0" applyNumberFormat="1" applyFill="1" applyAlignment="1" applyProtection="1">
      <alignment/>
      <protection hidden="1"/>
    </xf>
    <xf numFmtId="170" fontId="0" fillId="2" borderId="0" xfId="0" applyNumberFormat="1" applyFill="1" applyAlignment="1" applyProtection="1">
      <alignment/>
      <protection hidden="1"/>
    </xf>
    <xf numFmtId="170" fontId="0" fillId="0" borderId="0" xfId="0" applyNumberFormat="1" applyAlignment="1" applyProtection="1">
      <alignment/>
      <protection hidden="1"/>
    </xf>
    <xf numFmtId="164" fontId="0" fillId="0" borderId="0" xfId="0" applyFont="1" applyAlignment="1" applyProtection="1">
      <alignment horizontal="right"/>
      <protection hidden="1"/>
    </xf>
    <xf numFmtId="170" fontId="0" fillId="0" borderId="0" xfId="0" applyNumberFormat="1" applyAlignment="1">
      <alignment/>
    </xf>
    <xf numFmtId="170" fontId="0" fillId="2" borderId="0" xfId="0" applyNumberFormat="1" applyFill="1" applyBorder="1" applyAlignment="1" applyProtection="1">
      <alignment vertical="center"/>
      <protection hidden="1"/>
    </xf>
    <xf numFmtId="170" fontId="0" fillId="0" borderId="0" xfId="0" applyNumberFormat="1" applyFill="1" applyBorder="1" applyAlignment="1" applyProtection="1">
      <alignment vertical="center"/>
      <protection hidden="1"/>
    </xf>
    <xf numFmtId="164" fontId="3" fillId="0" borderId="0" xfId="0" applyFont="1" applyBorder="1" applyAlignment="1" applyProtection="1">
      <alignment horizontal="right" wrapText="1"/>
      <protection hidden="1"/>
    </xf>
    <xf numFmtId="170" fontId="3" fillId="0" borderId="0" xfId="0" applyNumberFormat="1" applyFont="1" applyFill="1" applyBorder="1" applyAlignment="1" applyProtection="1">
      <alignment horizontal="left" wrapText="1"/>
      <protection hidden="1"/>
    </xf>
    <xf numFmtId="164" fontId="7" fillId="0" borderId="0" xfId="0" applyFont="1" applyFill="1" applyBorder="1" applyAlignment="1" applyProtection="1">
      <alignment horizontal="center" vertical="center"/>
      <protection/>
    </xf>
    <xf numFmtId="164" fontId="0" fillId="0" borderId="0" xfId="0" applyFont="1" applyFill="1" applyBorder="1" applyAlignment="1" applyProtection="1">
      <alignment horizontal="left" vertical="center" wrapText="1"/>
      <protection/>
    </xf>
    <xf numFmtId="164" fontId="7" fillId="0" borderId="1" xfId="0" applyFont="1" applyFill="1" applyBorder="1" applyAlignment="1" applyProtection="1">
      <alignment horizontal="center" vertical="center"/>
      <protection/>
    </xf>
    <xf numFmtId="164" fontId="0" fillId="0" borderId="1" xfId="0" applyBorder="1" applyAlignment="1" applyProtection="1">
      <alignment horizontal="center" vertical="center"/>
      <protection/>
    </xf>
    <xf numFmtId="164" fontId="0" fillId="2" borderId="1" xfId="0" applyFont="1" applyFill="1" applyBorder="1" applyAlignment="1" applyProtection="1">
      <alignment horizontal="center" vertical="center" wrapText="1"/>
      <protection locked="0"/>
    </xf>
    <xf numFmtId="164" fontId="0" fillId="3" borderId="1" xfId="0" applyFont="1" applyFill="1" applyBorder="1" applyAlignment="1" applyProtection="1">
      <alignment horizontal="center" vertical="center" wrapText="1"/>
      <protection locked="0"/>
    </xf>
    <xf numFmtId="164" fontId="3" fillId="2" borderId="1" xfId="0" applyFont="1" applyFill="1" applyBorder="1" applyAlignment="1" applyProtection="1">
      <alignment vertical="center" wrapText="1"/>
      <protection/>
    </xf>
    <xf numFmtId="169" fontId="3" fillId="0" borderId="1" xfId="0" applyNumberFormat="1" applyFont="1" applyBorder="1" applyAlignment="1" applyProtection="1">
      <alignment vertical="center"/>
      <protection/>
    </xf>
    <xf numFmtId="164" fontId="0" fillId="2" borderId="1" xfId="0" applyFont="1" applyFill="1" applyBorder="1" applyAlignment="1" applyProtection="1">
      <alignment vertical="center" wrapText="1"/>
      <protection/>
    </xf>
    <xf numFmtId="169" fontId="0" fillId="2" borderId="1" xfId="0" applyNumberFormat="1" applyFill="1" applyBorder="1" applyAlignment="1" applyProtection="1">
      <alignment vertical="center"/>
      <protection locked="0"/>
    </xf>
    <xf numFmtId="166" fontId="0" fillId="2" borderId="1" xfId="0" applyNumberFormat="1" applyFont="1" applyFill="1" applyBorder="1" applyAlignment="1" applyProtection="1">
      <alignment vertical="center"/>
      <protection locked="0"/>
    </xf>
    <xf numFmtId="169" fontId="0" fillId="0" borderId="1" xfId="0" applyNumberFormat="1" applyFill="1" applyBorder="1" applyAlignment="1" applyProtection="1">
      <alignment vertical="center"/>
      <protection locked="0"/>
    </xf>
    <xf numFmtId="166" fontId="8" fillId="2" borderId="1" xfId="0" applyNumberFormat="1" applyFont="1" applyFill="1" applyBorder="1" applyAlignment="1">
      <alignment vertical="center"/>
    </xf>
    <xf numFmtId="169" fontId="0" fillId="2" borderId="1" xfId="0" applyNumberFormat="1" applyFill="1" applyBorder="1" applyAlignment="1" applyProtection="1">
      <alignment vertical="center" wrapText="1"/>
      <protection locked="0"/>
    </xf>
    <xf numFmtId="169" fontId="0" fillId="0" borderId="1" xfId="0" applyNumberFormat="1" applyFont="1" applyFill="1" applyBorder="1" applyAlignment="1" applyProtection="1">
      <alignment vertical="center"/>
      <protection locked="0"/>
    </xf>
    <xf numFmtId="165" fontId="3" fillId="0" borderId="0" xfId="0" applyNumberFormat="1" applyFont="1" applyAlignment="1">
      <alignment/>
    </xf>
    <xf numFmtId="169" fontId="3" fillId="0" borderId="1" xfId="0" applyNumberFormat="1" applyFont="1" applyFill="1" applyBorder="1" applyAlignment="1" applyProtection="1">
      <alignment vertical="center" wrapText="1"/>
      <protection locked="0"/>
    </xf>
    <xf numFmtId="167" fontId="3" fillId="0" borderId="1" xfId="0" applyNumberFormat="1" applyFont="1" applyBorder="1" applyAlignment="1" applyProtection="1">
      <alignment horizontal="center" vertical="center"/>
      <protection/>
    </xf>
    <xf numFmtId="167" fontId="3" fillId="0" borderId="1" xfId="0" applyNumberFormat="1" applyFont="1" applyFill="1" applyBorder="1" applyAlignment="1" applyProtection="1">
      <alignment horizontal="center" vertical="center"/>
      <protection/>
    </xf>
    <xf numFmtId="169" fontId="3" fillId="0" borderId="1" xfId="0" applyNumberFormat="1" applyFont="1" applyFill="1" applyBorder="1" applyAlignment="1" applyProtection="1">
      <alignment vertical="center"/>
      <protection/>
    </xf>
    <xf numFmtId="169" fontId="0" fillId="2" borderId="1" xfId="0" applyNumberFormat="1" applyFill="1" applyBorder="1" applyAlignment="1" applyProtection="1">
      <alignment vertical="center"/>
      <protection/>
    </xf>
    <xf numFmtId="169" fontId="0" fillId="0" borderId="1" xfId="0" applyNumberFormat="1" applyBorder="1" applyAlignment="1" applyProtection="1">
      <alignment vertical="center"/>
      <protection/>
    </xf>
    <xf numFmtId="166" fontId="0" fillId="0" borderId="1" xfId="0" applyNumberFormat="1" applyBorder="1" applyAlignment="1" applyProtection="1">
      <alignment vertical="center"/>
      <protection/>
    </xf>
    <xf numFmtId="167" fontId="3" fillId="2" borderId="1" xfId="0" applyNumberFormat="1" applyFont="1" applyFill="1" applyBorder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Border="1" applyAlignment="1" applyProtection="1">
      <alignment horizontal="center"/>
      <protection hidden="1"/>
    </xf>
    <xf numFmtId="164" fontId="0" fillId="0" borderId="0" xfId="0" applyBorder="1" applyAlignment="1" applyProtection="1">
      <alignment horizontal="center"/>
      <protection hidden="1"/>
    </xf>
    <xf numFmtId="164" fontId="3" fillId="0" borderId="0" xfId="0" applyNumberFormat="1" applyFont="1" applyBorder="1" applyAlignment="1" applyProtection="1">
      <alignment horizontal="left" wrapText="1"/>
      <protection hidden="1"/>
    </xf>
    <xf numFmtId="164" fontId="0" fillId="0" borderId="0" xfId="0" applyBorder="1" applyAlignment="1" applyProtection="1">
      <alignment horizontal="left"/>
      <protection hidden="1"/>
    </xf>
    <xf numFmtId="164" fontId="3" fillId="0" borderId="0" xfId="0" applyFont="1" applyAlignment="1" applyProtection="1">
      <alignment/>
      <protection hidden="1"/>
    </xf>
    <xf numFmtId="171" fontId="3" fillId="0" borderId="0" xfId="0" applyNumberFormat="1" applyFont="1" applyAlignment="1" applyProtection="1">
      <alignment/>
      <protection hidden="1"/>
    </xf>
    <xf numFmtId="164" fontId="9" fillId="0" borderId="0" xfId="0" applyFont="1" applyBorder="1" applyAlignment="1" applyProtection="1">
      <alignment wrapText="1"/>
      <protection hidden="1"/>
    </xf>
    <xf numFmtId="166" fontId="9" fillId="2" borderId="0" xfId="0" applyNumberFormat="1" applyFont="1" applyFill="1" applyAlignment="1" applyProtection="1">
      <alignment/>
      <protection hidden="1"/>
    </xf>
    <xf numFmtId="166" fontId="0" fillId="0" borderId="0" xfId="0" applyNumberFormat="1" applyFill="1" applyAlignment="1" applyProtection="1">
      <alignment/>
      <protection hidden="1"/>
    </xf>
    <xf numFmtId="166" fontId="7" fillId="0" borderId="0" xfId="0" applyNumberFormat="1" applyFont="1" applyAlignment="1" applyProtection="1">
      <alignment/>
      <protection hidden="1"/>
    </xf>
    <xf numFmtId="166" fontId="0" fillId="0" borderId="0" xfId="0" applyNumberFormat="1" applyAlignment="1" applyProtection="1">
      <alignment/>
      <protection hidden="1"/>
    </xf>
    <xf numFmtId="164" fontId="0" fillId="5" borderId="0" xfId="0" applyFont="1" applyFill="1" applyAlignment="1" applyProtection="1">
      <alignment/>
      <protection hidden="1"/>
    </xf>
    <xf numFmtId="166" fontId="0" fillId="2" borderId="0" xfId="0" applyNumberFormat="1" applyFill="1" applyAlignment="1" applyProtection="1">
      <alignment/>
      <protection hidden="1"/>
    </xf>
    <xf numFmtId="172" fontId="0" fillId="0" borderId="0" xfId="0" applyNumberFormat="1" applyAlignment="1">
      <alignment/>
    </xf>
    <xf numFmtId="166" fontId="9" fillId="0" borderId="0" xfId="0" applyNumberFormat="1" applyFont="1" applyAlignment="1" applyProtection="1">
      <alignment/>
      <protection hidden="1"/>
    </xf>
    <xf numFmtId="164" fontId="0" fillId="0" borderId="0" xfId="0" applyFont="1" applyBorder="1" applyAlignment="1" applyProtection="1">
      <alignment/>
      <protection hidden="1"/>
    </xf>
    <xf numFmtId="164" fontId="0" fillId="0" borderId="0" xfId="0" applyFont="1" applyBorder="1" applyAlignment="1" applyProtection="1">
      <alignment wrapText="1"/>
      <protection hidden="1"/>
    </xf>
    <xf numFmtId="166" fontId="9" fillId="0" borderId="0" xfId="0" applyNumberFormat="1" applyFont="1" applyFill="1" applyAlignment="1" applyProtection="1">
      <alignment/>
      <protection hidden="1"/>
    </xf>
    <xf numFmtId="164" fontId="10" fillId="0" borderId="0" xfId="0" applyFont="1" applyBorder="1" applyAlignment="1">
      <alignment/>
    </xf>
    <xf numFmtId="164" fontId="11" fillId="0" borderId="0" xfId="0" applyFont="1" applyAlignment="1">
      <alignment wrapText="1"/>
    </xf>
    <xf numFmtId="164" fontId="12" fillId="0" borderId="0" xfId="0" applyFont="1" applyBorder="1" applyAlignment="1">
      <alignment horizontal="left"/>
    </xf>
    <xf numFmtId="164" fontId="13" fillId="0" borderId="0" xfId="0" applyFont="1" applyFill="1" applyBorder="1" applyAlignment="1">
      <alignment horizontal="left" wrapText="1"/>
    </xf>
    <xf numFmtId="164" fontId="14" fillId="0" borderId="0" xfId="0" applyFont="1" applyBorder="1" applyAlignment="1">
      <alignment horizontal="left"/>
    </xf>
    <xf numFmtId="164" fontId="15" fillId="0" borderId="1" xfId="0" applyFont="1" applyBorder="1" applyAlignment="1">
      <alignment horizontal="center" vertical="center" wrapText="1"/>
    </xf>
    <xf numFmtId="164" fontId="16" fillId="0" borderId="1" xfId="0" applyFont="1" applyBorder="1" applyAlignment="1">
      <alignment horizontal="center" vertical="center" wrapText="1"/>
    </xf>
    <xf numFmtId="164" fontId="17" fillId="0" borderId="0" xfId="0" applyFont="1" applyAlignment="1">
      <alignment wrapText="1"/>
    </xf>
    <xf numFmtId="164" fontId="18" fillId="0" borderId="1" xfId="0" applyFont="1" applyBorder="1" applyAlignment="1">
      <alignment wrapText="1"/>
    </xf>
    <xf numFmtId="164" fontId="18" fillId="0" borderId="1" xfId="0" applyFont="1" applyBorder="1" applyAlignment="1">
      <alignment horizontal="left" vertical="center"/>
    </xf>
    <xf numFmtId="166" fontId="19" fillId="0" borderId="1" xfId="0" applyNumberFormat="1" applyFont="1" applyBorder="1" applyAlignment="1">
      <alignment wrapText="1"/>
    </xf>
    <xf numFmtId="164" fontId="20" fillId="0" borderId="0" xfId="0" applyFont="1" applyAlignment="1">
      <alignment/>
    </xf>
    <xf numFmtId="164" fontId="1" fillId="0" borderId="1" xfId="0" applyFont="1" applyBorder="1" applyAlignment="1">
      <alignment/>
    </xf>
    <xf numFmtId="164" fontId="21" fillId="0" borderId="1" xfId="0" applyFont="1" applyBorder="1" applyAlignment="1">
      <alignment horizontal="left"/>
    </xf>
    <xf numFmtId="166" fontId="6" fillId="0" borderId="1" xfId="0" applyNumberFormat="1" applyFont="1" applyBorder="1" applyAlignment="1">
      <alignment/>
    </xf>
    <xf numFmtId="164" fontId="20" fillId="0" borderId="0" xfId="0" applyFont="1" applyBorder="1" applyAlignment="1" applyProtection="1">
      <alignment/>
      <protection/>
    </xf>
    <xf numFmtId="164" fontId="1" fillId="0" borderId="1" xfId="0" applyFont="1" applyBorder="1" applyAlignment="1">
      <alignment horizontal="left"/>
    </xf>
    <xf numFmtId="166" fontId="22" fillId="0" borderId="1" xfId="0" applyNumberFormat="1" applyFont="1" applyBorder="1" applyAlignment="1">
      <alignment/>
    </xf>
    <xf numFmtId="164" fontId="23" fillId="0" borderId="1" xfId="0" applyFont="1" applyBorder="1" applyAlignment="1">
      <alignment horizontal="left"/>
    </xf>
    <xf numFmtId="164" fontId="24" fillId="0" borderId="0" xfId="0" applyFont="1" applyAlignment="1">
      <alignment/>
    </xf>
    <xf numFmtId="164" fontId="25" fillId="0" borderId="1" xfId="0" applyFont="1" applyBorder="1" applyAlignment="1">
      <alignment/>
    </xf>
    <xf numFmtId="164" fontId="25" fillId="0" borderId="1" xfId="0" applyFont="1" applyBorder="1" applyAlignment="1">
      <alignment horizontal="left" wrapText="1"/>
    </xf>
    <xf numFmtId="164" fontId="26" fillId="0" borderId="1" xfId="0" applyFont="1" applyBorder="1" applyAlignment="1">
      <alignment horizontal="left"/>
    </xf>
    <xf numFmtId="164" fontId="25" fillId="0" borderId="1" xfId="0" applyFont="1" applyBorder="1" applyAlignment="1">
      <alignment vertical="top" wrapText="1"/>
    </xf>
    <xf numFmtId="164" fontId="28" fillId="2" borderId="1" xfId="0" applyFont="1" applyFill="1" applyBorder="1" applyAlignment="1">
      <alignment horizontal="center" vertical="center" wrapText="1"/>
    </xf>
    <xf numFmtId="164" fontId="28" fillId="2" borderId="1" xfId="0" applyFont="1" applyFill="1" applyBorder="1" applyAlignment="1">
      <alignment horizontal="center"/>
    </xf>
    <xf numFmtId="164" fontId="28" fillId="2" borderId="1" xfId="0" applyFont="1" applyFill="1" applyBorder="1" applyAlignment="1">
      <alignment/>
    </xf>
    <xf numFmtId="166" fontId="29" fillId="0" borderId="1" xfId="0" applyNumberFormat="1" applyFont="1" applyBorder="1" applyAlignment="1">
      <alignment/>
    </xf>
    <xf numFmtId="164" fontId="28" fillId="0" borderId="1" xfId="0" applyFont="1" applyFill="1" applyBorder="1" applyAlignment="1">
      <alignment horizontal="center" vertical="center" wrapText="1"/>
    </xf>
    <xf numFmtId="164" fontId="30" fillId="0" borderId="1" xfId="0" applyFont="1" applyBorder="1" applyAlignment="1">
      <alignment horizontal="center"/>
    </xf>
    <xf numFmtId="164" fontId="30" fillId="0" borderId="1" xfId="0" applyFont="1" applyBorder="1" applyAlignment="1">
      <alignment/>
    </xf>
    <xf numFmtId="166" fontId="31" fillId="2" borderId="1" xfId="0" applyNumberFormat="1" applyFont="1" applyFill="1" applyBorder="1" applyAlignment="1">
      <alignment/>
    </xf>
    <xf numFmtId="166" fontId="5" fillId="2" borderId="1" xfId="0" applyNumberFormat="1" applyFont="1" applyFill="1" applyBorder="1" applyAlignment="1">
      <alignment/>
    </xf>
    <xf numFmtId="164" fontId="25" fillId="0" borderId="1" xfId="0" applyFont="1" applyBorder="1" applyAlignment="1">
      <alignment horizontal="left" vertical="top" wrapText="1"/>
    </xf>
    <xf numFmtId="164" fontId="30" fillId="0" borderId="1" xfId="0" applyFont="1" applyFill="1" applyBorder="1" applyAlignment="1">
      <alignment horizontal="center"/>
    </xf>
    <xf numFmtId="164" fontId="0" fillId="0" borderId="1" xfId="0" applyBorder="1" applyAlignment="1">
      <alignment/>
    </xf>
    <xf numFmtId="164" fontId="30" fillId="0" borderId="1" xfId="0" applyFont="1" applyBorder="1" applyAlignment="1">
      <alignment horizontal="left" wrapText="1"/>
    </xf>
    <xf numFmtId="164" fontId="24" fillId="0" borderId="1" xfId="0" applyFont="1" applyBorder="1" applyAlignment="1">
      <alignment/>
    </xf>
    <xf numFmtId="164" fontId="26" fillId="0" borderId="1" xfId="0" applyFont="1" applyFill="1" applyBorder="1" applyAlignment="1">
      <alignment horizontal="center"/>
    </xf>
    <xf numFmtId="164" fontId="26" fillId="0" borderId="1" xfId="0" applyFont="1" applyBorder="1" applyAlignment="1">
      <alignment horizontal="center"/>
    </xf>
    <xf numFmtId="166" fontId="22" fillId="0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="90" zoomScaleNormal="90" workbookViewId="0" topLeftCell="A19">
      <selection activeCell="G38" sqref="G38"/>
    </sheetView>
  </sheetViews>
  <sheetFormatPr defaultColWidth="12.57421875" defaultRowHeight="12.75"/>
  <cols>
    <col min="1" max="1" width="4.00390625" style="0" customWidth="1"/>
    <col min="2" max="2" width="40.7109375" style="0" customWidth="1"/>
    <col min="3" max="24" width="14.00390625" style="0" customWidth="1"/>
    <col min="25" max="28" width="15.00390625" style="0" customWidth="1"/>
    <col min="29" max="16384" width="11.57421875" style="0" customWidth="1"/>
  </cols>
  <sheetData>
    <row r="1" spans="2:28" ht="13.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A1" s="4" t="s">
        <v>1</v>
      </c>
      <c r="AB1" s="4"/>
    </row>
    <row r="2" spans="6:28" ht="37.5" customHeight="1">
      <c r="F2" s="5"/>
      <c r="G2" s="5"/>
      <c r="AA2" s="6" t="str">
        <f>'zał3 do WPF'!J2</f>
        <v>Do Uchwały  Nr XV/98/2011
Rady Miejskiej
z dnia 29 grudnia 2011r.</v>
      </c>
      <c r="AB2" s="6"/>
    </row>
    <row r="3" spans="1:28" ht="12.75" customHeight="1">
      <c r="A3" s="7" t="s">
        <v>2</v>
      </c>
      <c r="B3" s="7" t="s">
        <v>3</v>
      </c>
      <c r="C3" s="7" t="s">
        <v>4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ht="12.75">
      <c r="A4" s="7"/>
      <c r="B4" s="7"/>
      <c r="C4" s="8">
        <v>2008</v>
      </c>
      <c r="D4" s="8">
        <v>2009</v>
      </c>
      <c r="E4" s="8">
        <v>2010</v>
      </c>
      <c r="F4" s="9" t="s">
        <v>5</v>
      </c>
      <c r="G4" s="9" t="s">
        <v>6</v>
      </c>
      <c r="H4" s="10">
        <v>2012</v>
      </c>
      <c r="I4" s="8">
        <v>2013</v>
      </c>
      <c r="J4" s="8">
        <v>2014</v>
      </c>
      <c r="K4" s="8">
        <v>2015</v>
      </c>
      <c r="L4" s="8">
        <v>2016</v>
      </c>
      <c r="M4" s="8">
        <v>2017</v>
      </c>
      <c r="N4" s="8">
        <v>2018</v>
      </c>
      <c r="O4" s="8">
        <v>2019</v>
      </c>
      <c r="P4" s="8">
        <v>2020</v>
      </c>
      <c r="Q4" s="8">
        <v>2021</v>
      </c>
      <c r="R4" s="8">
        <v>2022</v>
      </c>
      <c r="S4" s="8">
        <v>2023</v>
      </c>
      <c r="T4" s="8">
        <v>2024</v>
      </c>
      <c r="U4" s="8">
        <v>2025</v>
      </c>
      <c r="V4" s="8">
        <v>2026</v>
      </c>
      <c r="W4" s="8">
        <v>2027</v>
      </c>
      <c r="X4" s="8">
        <v>2028</v>
      </c>
      <c r="Y4" s="8">
        <v>2029</v>
      </c>
      <c r="Z4" s="8">
        <v>2030</v>
      </c>
      <c r="AA4" s="8">
        <v>2031</v>
      </c>
      <c r="AB4" s="8">
        <v>2032</v>
      </c>
    </row>
    <row r="5" spans="1:28" ht="12.75">
      <c r="A5" s="11">
        <v>1</v>
      </c>
      <c r="B5" s="12" t="s">
        <v>7</v>
      </c>
      <c r="C5" s="13">
        <f>SUM(C6:C7)</f>
        <v>56602913</v>
      </c>
      <c r="D5" s="13">
        <f>SUM(D6:D7)</f>
        <v>65638462</v>
      </c>
      <c r="E5" s="13">
        <f>SUM(E6:E7)</f>
        <v>76066696.03</v>
      </c>
      <c r="F5" s="14">
        <v>87758215.85</v>
      </c>
      <c r="G5" s="14">
        <v>89107067.15</v>
      </c>
      <c r="H5" s="13">
        <f>SUM(H6:H7)</f>
        <v>80116245</v>
      </c>
      <c r="I5" s="13">
        <f>SUM(I6:I7)</f>
        <v>67427680.191</v>
      </c>
      <c r="J5" s="13">
        <f>SUM(J6:J7)</f>
        <v>64765577.072921</v>
      </c>
      <c r="K5" s="13">
        <f>SUM(K6:K7)</f>
        <v>66769669.27818155</v>
      </c>
      <c r="L5" s="13">
        <f>SUM(L6:L7)</f>
        <v>68835779.12128517</v>
      </c>
      <c r="M5" s="13">
        <f>SUM(M6:M7)</f>
        <v>70965825.87238942</v>
      </c>
      <c r="N5" s="13">
        <f>SUM(N6:N7)</f>
        <v>73161788.20072821</v>
      </c>
      <c r="O5" s="13">
        <f>SUM(O6:O7)</f>
        <v>75425706.01303436</v>
      </c>
      <c r="P5" s="13">
        <f>SUM(P6:P7)</f>
        <v>77759682.3488645</v>
      </c>
      <c r="Q5" s="13">
        <f>SUM(Q6:Q7)</f>
        <v>80165885.33458817</v>
      </c>
      <c r="R5" s="13">
        <f>SUM(R6:R7)</f>
        <v>82646550.19785653</v>
      </c>
      <c r="S5" s="13">
        <f>SUM(S6:S7)</f>
        <v>85203981.3444231</v>
      </c>
      <c r="T5" s="13">
        <f>SUM(T6:T7)</f>
        <v>87840554.49924622</v>
      </c>
      <c r="U5" s="13">
        <f>SUM(U6:U7)</f>
        <v>90558718.91386324</v>
      </c>
      <c r="V5" s="13">
        <f>SUM(V6:V7)</f>
        <v>93360999.6420876</v>
      </c>
      <c r="W5" s="13">
        <f>SUM(W6:W7)</f>
        <v>96249999.88614374</v>
      </c>
      <c r="X5" s="13">
        <f>SUM(X6:X7)</f>
        <v>99228403.41542017</v>
      </c>
      <c r="Y5" s="13">
        <f>SUM(Y6:Y7)</f>
        <v>102298977.06008835</v>
      </c>
      <c r="Z5" s="13">
        <f>SUM(Z6:Z7)</f>
        <v>105464573.28190497</v>
      </c>
      <c r="AA5" s="13">
        <f>SUM(AA6:AA7)</f>
        <v>108728132.82458648</v>
      </c>
      <c r="AB5" s="13">
        <f>SUM(AB6:AB7)</f>
        <v>112092687.44621941</v>
      </c>
    </row>
    <row r="6" spans="1:28" ht="12.75">
      <c r="A6" s="15" t="s">
        <v>8</v>
      </c>
      <c r="B6" s="16" t="s">
        <v>9</v>
      </c>
      <c r="C6" s="17">
        <v>48236781</v>
      </c>
      <c r="D6" s="17">
        <v>54877794</v>
      </c>
      <c r="E6" s="18">
        <f>'zał2 do WPF'!D6</f>
        <v>59404315.82</v>
      </c>
      <c r="F6" s="14">
        <v>61044930.85</v>
      </c>
      <c r="G6" s="14">
        <v>62393782.15</v>
      </c>
      <c r="H6" s="18">
        <f>'zał2 do WPF'!F6</f>
        <v>57504361</v>
      </c>
      <c r="I6" s="18">
        <f>'zał2 do WPF'!G6</f>
        <v>59286996.191</v>
      </c>
      <c r="J6" s="18">
        <f>'zał2 do WPF'!H6</f>
        <v>61124893.072921</v>
      </c>
      <c r="K6" s="18">
        <f>'zał2 do WPF'!I6</f>
        <v>63019764.75818155</v>
      </c>
      <c r="L6" s="18">
        <f>'zał2 do WPF'!J6</f>
        <v>64973377.465685174</v>
      </c>
      <c r="M6" s="18">
        <f>'zał2 do WPF'!K6</f>
        <v>66987552.16712142</v>
      </c>
      <c r="N6" s="18">
        <f>'zał2 do WPF'!L6</f>
        <v>69064166.28430218</v>
      </c>
      <c r="O6" s="18">
        <f>'zał2 do WPF'!M6</f>
        <v>71205155.43911554</v>
      </c>
      <c r="P6" s="18">
        <f>'zał2 do WPF'!N6</f>
        <v>73412515.25772811</v>
      </c>
      <c r="Q6" s="18">
        <f>'zał2 do WPF'!O6</f>
        <v>75688303.23071769</v>
      </c>
      <c r="R6" s="18">
        <f>'zał2 do WPF'!P6</f>
        <v>78034640.63086994</v>
      </c>
      <c r="S6" s="18">
        <f>'zał2 do WPF'!Q6</f>
        <v>80453714.49042691</v>
      </c>
      <c r="T6" s="18">
        <f>'zał2 do WPF'!R6</f>
        <v>82947779.63963015</v>
      </c>
      <c r="U6" s="18">
        <f>'zał2 do WPF'!S6</f>
        <v>85519160.80845869</v>
      </c>
      <c r="V6" s="18">
        <f>'zał2 do WPF'!T6</f>
        <v>88170254.7935209</v>
      </c>
      <c r="W6" s="18">
        <f>'zał2 do WPF'!U6</f>
        <v>90903532.69212005</v>
      </c>
      <c r="X6" s="18">
        <f>'zał2 do WPF'!V6</f>
        <v>93721542.20557576</v>
      </c>
      <c r="Y6" s="18">
        <f>'zał2 do WPF'!W6</f>
        <v>96626910.01394862</v>
      </c>
      <c r="Z6" s="18">
        <f>'zał2 do WPF'!X6</f>
        <v>99622344.22438103</v>
      </c>
      <c r="AA6" s="18">
        <f>'zał2 do WPF'!Y6</f>
        <v>102710636.89533684</v>
      </c>
      <c r="AB6" s="18">
        <f>'zał2 do WPF'!Z6</f>
        <v>105894666.63909228</v>
      </c>
    </row>
    <row r="7" spans="1:28" ht="12.75">
      <c r="A7" s="15" t="s">
        <v>10</v>
      </c>
      <c r="B7" s="16" t="s">
        <v>11</v>
      </c>
      <c r="C7" s="17">
        <v>8366132</v>
      </c>
      <c r="D7" s="17">
        <v>10760668</v>
      </c>
      <c r="E7" s="18">
        <f>'zał2 do WPF'!D7</f>
        <v>16662380.21</v>
      </c>
      <c r="F7" s="14">
        <v>26713285</v>
      </c>
      <c r="G7" s="14">
        <v>26713285</v>
      </c>
      <c r="H7" s="18">
        <f>'zał2 do WPF'!F7</f>
        <v>22611884</v>
      </c>
      <c r="I7" s="18">
        <f>'zał2 do WPF'!G7</f>
        <v>8140684</v>
      </c>
      <c r="J7" s="18">
        <f>'zał2 do WPF'!H7</f>
        <v>3640684</v>
      </c>
      <c r="K7" s="18">
        <f>'zał2 do WPF'!I7</f>
        <v>3749904.52</v>
      </c>
      <c r="L7" s="18">
        <f>'zał2 do WPF'!J7</f>
        <v>3862401.6556</v>
      </c>
      <c r="M7" s="18">
        <f>'zał2 do WPF'!K7</f>
        <v>3978273.7052680003</v>
      </c>
      <c r="N7" s="18">
        <f>'zał2 do WPF'!L7</f>
        <v>4097621.91642604</v>
      </c>
      <c r="O7" s="18">
        <f>'zał2 do WPF'!M7</f>
        <v>4220550.573918821</v>
      </c>
      <c r="P7" s="18">
        <f>'zał2 do WPF'!N7</f>
        <v>4347167.091136386</v>
      </c>
      <c r="Q7" s="18">
        <f>'zał2 do WPF'!O7</f>
        <v>4477582.1038704775</v>
      </c>
      <c r="R7" s="18">
        <f>'zał2 do WPF'!P7</f>
        <v>4611909.566986592</v>
      </c>
      <c r="S7" s="18">
        <f>'zał2 do WPF'!Q7</f>
        <v>4750266.853996189</v>
      </c>
      <c r="T7" s="18">
        <f>'zał2 do WPF'!R7</f>
        <v>4892774.859616075</v>
      </c>
      <c r="U7" s="18">
        <f>'zał2 do WPF'!S7</f>
        <v>5039558.105404557</v>
      </c>
      <c r="V7" s="18">
        <f>'zał2 do WPF'!T7</f>
        <v>5190744.848566693</v>
      </c>
      <c r="W7" s="18">
        <f>'zał2 do WPF'!U7</f>
        <v>5346467.194023694</v>
      </c>
      <c r="X7" s="18">
        <f>'zał2 do WPF'!V7</f>
        <v>5506861.209844405</v>
      </c>
      <c r="Y7" s="18">
        <f>'zał2 do WPF'!W7</f>
        <v>5672067.046139737</v>
      </c>
      <c r="Z7" s="18">
        <f>'zał2 do WPF'!X7</f>
        <v>5842229.057523929</v>
      </c>
      <c r="AA7" s="18">
        <f>'zał2 do WPF'!Y7</f>
        <v>6017495.929249646</v>
      </c>
      <c r="AB7" s="18">
        <f>'zał2 do WPF'!Z7</f>
        <v>6198020.807127136</v>
      </c>
    </row>
    <row r="8" spans="1:28" ht="12.75">
      <c r="A8" s="15" t="s">
        <v>12</v>
      </c>
      <c r="B8" s="16" t="s">
        <v>13</v>
      </c>
      <c r="C8" s="17">
        <v>2943102</v>
      </c>
      <c r="D8" s="17">
        <v>1702924</v>
      </c>
      <c r="E8" s="18">
        <f>'zał2 do WPF'!D8</f>
        <v>1908591.03</v>
      </c>
      <c r="F8" s="14">
        <v>1435000</v>
      </c>
      <c r="G8" s="14">
        <v>1435000</v>
      </c>
      <c r="H8" s="18">
        <f>'zał2 do WPF'!F8</f>
        <v>4830000</v>
      </c>
      <c r="I8" s="18">
        <f>'zał2 do WPF'!G8</f>
        <v>6000000</v>
      </c>
      <c r="J8" s="18">
        <f>'zał2 do WPF'!H8</f>
        <v>1500000</v>
      </c>
      <c r="K8" s="18">
        <f>'zał2 do WPF'!I8</f>
        <v>1545000</v>
      </c>
      <c r="L8" s="18">
        <f>'zał2 do WPF'!J8</f>
        <v>1591350</v>
      </c>
      <c r="M8" s="18">
        <f>'zał2 do WPF'!K8</f>
        <v>1639090.5</v>
      </c>
      <c r="N8" s="18">
        <f>'zał2 do WPF'!L8</f>
        <v>1688263.215</v>
      </c>
      <c r="O8" s="18">
        <f>'zał2 do WPF'!M8</f>
        <v>1738911.1114500002</v>
      </c>
      <c r="P8" s="18">
        <f>'zał2 do WPF'!N8</f>
        <v>1791078.4447935002</v>
      </c>
      <c r="Q8" s="18">
        <f>'zał2 do WPF'!O8</f>
        <v>1844810.7981373053</v>
      </c>
      <c r="R8" s="18">
        <f>'zał2 do WPF'!P8</f>
        <v>1900155.1220814246</v>
      </c>
      <c r="S8" s="18">
        <f>'zał2 do WPF'!Q8</f>
        <v>1957159.7757438673</v>
      </c>
      <c r="T8" s="18">
        <f>'zał2 do WPF'!R8</f>
        <v>2015874.5690161833</v>
      </c>
      <c r="U8" s="18">
        <f>'zał2 do WPF'!S8</f>
        <v>2076350.8060866687</v>
      </c>
      <c r="V8" s="18">
        <f>'zał2 do WPF'!T8</f>
        <v>2138641.3302692687</v>
      </c>
      <c r="W8" s="18">
        <f>'zał2 do WPF'!U8</f>
        <v>2202800.570177347</v>
      </c>
      <c r="X8" s="18">
        <f>'zał2 do WPF'!V8</f>
        <v>2268884.5872826674</v>
      </c>
      <c r="Y8" s="18">
        <f>'zał2 do WPF'!W8</f>
        <v>2336951.1249011476</v>
      </c>
      <c r="Z8" s="18">
        <f>'zał2 do WPF'!X8</f>
        <v>2407059.658648182</v>
      </c>
      <c r="AA8" s="18">
        <f>'zał2 do WPF'!Y8</f>
        <v>2479271.4484076276</v>
      </c>
      <c r="AB8" s="18">
        <f>'zał2 do WPF'!Z8</f>
        <v>2553649.5918598566</v>
      </c>
    </row>
    <row r="9" spans="1:28" ht="12.75">
      <c r="A9" s="11">
        <v>2</v>
      </c>
      <c r="B9" s="19" t="s">
        <v>14</v>
      </c>
      <c r="C9" s="17">
        <v>45362971</v>
      </c>
      <c r="D9" s="17">
        <v>50589750</v>
      </c>
      <c r="E9" s="18">
        <f>E52</f>
        <v>53228203.61</v>
      </c>
      <c r="F9" s="14">
        <v>56128945.85</v>
      </c>
      <c r="G9" s="14">
        <v>57477797.15</v>
      </c>
      <c r="H9" s="18">
        <f>H52</f>
        <v>56393501</v>
      </c>
      <c r="I9" s="18">
        <f>I52</f>
        <v>48886961.92407</v>
      </c>
      <c r="J9" s="18">
        <f>J52</f>
        <v>50769250.49814</v>
      </c>
      <c r="K9" s="18">
        <f>K52</f>
        <v>52553357.20221</v>
      </c>
      <c r="L9" s="18">
        <f>L52</f>
        <v>54384771.77538</v>
      </c>
      <c r="M9" s="18">
        <f>M52</f>
        <v>56264913.453723006</v>
      </c>
      <c r="N9" s="18">
        <f>N52</f>
        <v>58195244.05039419</v>
      </c>
      <c r="O9" s="18">
        <f>O52</f>
        <v>60177269.77294342</v>
      </c>
      <c r="P9" s="18">
        <f>P52</f>
        <v>62151643.73234703</v>
      </c>
      <c r="Q9" s="18">
        <f>Q52</f>
        <v>64088011.75410864</v>
      </c>
      <c r="R9" s="18">
        <f>R52</f>
        <v>66080867.845612995</v>
      </c>
      <c r="S9" s="18">
        <f>S52</f>
        <v>68131906.64895238</v>
      </c>
      <c r="T9" s="18">
        <f>T52</f>
        <v>70242873.64548185</v>
      </c>
      <c r="U9" s="18">
        <f>U52</f>
        <v>72415566.6809971</v>
      </c>
      <c r="V9" s="18">
        <f>V52</f>
        <v>74651837.53666772</v>
      </c>
      <c r="W9" s="18">
        <f>W52</f>
        <v>76953593.54709834</v>
      </c>
      <c r="X9" s="18">
        <f>X52</f>
        <v>79322799.2669318</v>
      </c>
      <c r="Y9" s="18">
        <f>Y52</f>
        <v>81761478.18745016</v>
      </c>
      <c r="Z9" s="18">
        <f>Z52</f>
        <v>84271714.50467396</v>
      </c>
      <c r="AA9" s="18">
        <f>AA52</f>
        <v>86855655.66050439</v>
      </c>
      <c r="AB9" s="18">
        <f>AB52</f>
        <v>89487200.45849961</v>
      </c>
    </row>
    <row r="10" spans="1:28" ht="12.75">
      <c r="A10" s="15" t="s">
        <v>8</v>
      </c>
      <c r="B10" s="20" t="s">
        <v>15</v>
      </c>
      <c r="C10" s="17">
        <v>19066808</v>
      </c>
      <c r="D10" s="17">
        <v>21525882</v>
      </c>
      <c r="E10" s="21">
        <v>23164024.05</v>
      </c>
      <c r="F10" s="14">
        <v>25243894.28</v>
      </c>
      <c r="G10" s="14">
        <v>25249925.09</v>
      </c>
      <c r="H10" s="22">
        <v>25531313</v>
      </c>
      <c r="I10" s="18">
        <f>SUM(H10+0.03*H10)</f>
        <v>26297252.39</v>
      </c>
      <c r="J10" s="18">
        <f>SUM(I10+0.03*I10)</f>
        <v>27086169.9617</v>
      </c>
      <c r="K10" s="18">
        <f>SUM(J10+0.03*J10)</f>
        <v>27898755.060551</v>
      </c>
      <c r="L10" s="18">
        <f>SUM(K10+0.03*K10)</f>
        <v>28735717.712367527</v>
      </c>
      <c r="M10" s="18">
        <f>SUM(L10+0.03*L10)</f>
        <v>29597789.243738554</v>
      </c>
      <c r="N10" s="18">
        <f>SUM(M10+0.03*M10)</f>
        <v>30485722.921050712</v>
      </c>
      <c r="O10" s="18">
        <f>SUM(N10+0.03*N10)</f>
        <v>31400294.608682234</v>
      </c>
      <c r="P10" s="18">
        <f>SUM(O10+0.03*O10)</f>
        <v>32342303.446942702</v>
      </c>
      <c r="Q10" s="18">
        <f>SUM(P10+0.03*P10)</f>
        <v>33312572.550350983</v>
      </c>
      <c r="R10" s="18">
        <f>SUM(Q10+0.03*Q10)</f>
        <v>34311949.726861514</v>
      </c>
      <c r="S10" s="18">
        <f>SUM(R10+0.03*R10)</f>
        <v>35341308.21866736</v>
      </c>
      <c r="T10" s="18">
        <f>SUM(S10+0.03*S10)</f>
        <v>36401547.46522738</v>
      </c>
      <c r="U10" s="18">
        <f>SUM(T10+0.03*T10)</f>
        <v>37493593.8891842</v>
      </c>
      <c r="V10" s="18">
        <f>SUM(U10+0.03*U10)</f>
        <v>38618401.70585973</v>
      </c>
      <c r="W10" s="18">
        <f>SUM(V10+0.03*V10)</f>
        <v>39776953.75703552</v>
      </c>
      <c r="X10" s="18">
        <f>SUM(W10+0.03*W10)</f>
        <v>40970262.36974659</v>
      </c>
      <c r="Y10" s="18">
        <f>SUM(X10+0.03*X10)</f>
        <v>42199370.24083898</v>
      </c>
      <c r="Z10" s="18">
        <f>SUM(Y10+0.03*Y10)</f>
        <v>43465351.348064154</v>
      </c>
      <c r="AA10" s="18">
        <f>SUM(Z10+0.03*Z10)</f>
        <v>44769311.88850608</v>
      </c>
      <c r="AB10" s="18">
        <f>SUM(AA10+0.03*AA10)</f>
        <v>46112391.24516126</v>
      </c>
    </row>
    <row r="11" spans="1:28" ht="12.75">
      <c r="A11" s="15" t="s">
        <v>10</v>
      </c>
      <c r="B11" s="16" t="s">
        <v>16</v>
      </c>
      <c r="C11" s="17">
        <v>3797329</v>
      </c>
      <c r="D11" s="17">
        <v>4009351</v>
      </c>
      <c r="E11" s="21">
        <v>3909060.3</v>
      </c>
      <c r="F11" s="14">
        <v>4151000</v>
      </c>
      <c r="G11" s="14">
        <v>4151000</v>
      </c>
      <c r="H11" s="22">
        <v>4435000</v>
      </c>
      <c r="I11" s="18">
        <f>SUM(H11+0.03*H11)</f>
        <v>4568050</v>
      </c>
      <c r="J11" s="18">
        <f>SUM(I11+0.03*I11)</f>
        <v>4705091.5</v>
      </c>
      <c r="K11" s="18">
        <f>SUM(J11+0.03*J11)</f>
        <v>4846244.245</v>
      </c>
      <c r="L11" s="18">
        <f>SUM(K11+0.03*K11)</f>
        <v>4991631.57235</v>
      </c>
      <c r="M11" s="18">
        <f>SUM(L11+0.03*L11)</f>
        <v>5141380.5195205</v>
      </c>
      <c r="N11" s="18">
        <f>SUM(M11+0.03*M11)</f>
        <v>5295621.9351061145</v>
      </c>
      <c r="O11" s="18">
        <f>SUM(N11+0.03*N11)</f>
        <v>5454490.5931592975</v>
      </c>
      <c r="P11" s="18">
        <f>SUM(O11+0.03*O11)</f>
        <v>5618125.310954076</v>
      </c>
      <c r="Q11" s="18">
        <f>SUM(P11+0.03*P11)</f>
        <v>5786669.070282699</v>
      </c>
      <c r="R11" s="18">
        <f>SUM(Q11+0.03*Q11)</f>
        <v>5960269.14239118</v>
      </c>
      <c r="S11" s="18">
        <f>SUM(R11+0.03*R11)</f>
        <v>6139077.216662915</v>
      </c>
      <c r="T11" s="18">
        <f>SUM(S11+0.03*S11)</f>
        <v>6323249.533162802</v>
      </c>
      <c r="U11" s="18">
        <f>SUM(T11+0.03*T11)</f>
        <v>6512947.019157686</v>
      </c>
      <c r="V11" s="18">
        <f>SUM(U11+0.03*U11)</f>
        <v>6708335.429732417</v>
      </c>
      <c r="W11" s="18">
        <f>SUM(V11+0.03*V11)</f>
        <v>6909585.492624389</v>
      </c>
      <c r="X11" s="18">
        <f>SUM(W11+0.03*W11)</f>
        <v>7116873.057403121</v>
      </c>
      <c r="Y11" s="18">
        <f>SUM(X11+0.03*X11)</f>
        <v>7330379.249125214</v>
      </c>
      <c r="Z11" s="18">
        <f>SUM(Y11+0.03*Y11)</f>
        <v>7550290.626598971</v>
      </c>
      <c r="AA11" s="18">
        <f>SUM(Z11+0.03*Z11)</f>
        <v>7776799.34539694</v>
      </c>
      <c r="AB11" s="18">
        <f>SUM(AA11+0.03*AA11)</f>
        <v>8010103.325758847</v>
      </c>
    </row>
    <row r="12" spans="1:28" ht="12.75">
      <c r="A12" s="15" t="s">
        <v>12</v>
      </c>
      <c r="B12" s="20" t="s">
        <v>17</v>
      </c>
      <c r="C12" s="17">
        <v>62867</v>
      </c>
      <c r="D12" s="17">
        <v>90829</v>
      </c>
      <c r="E12" s="18">
        <f>'zał2 do WPF'!D33</f>
        <v>480000</v>
      </c>
      <c r="F12" s="14">
        <v>348000</v>
      </c>
      <c r="G12" s="14">
        <v>348000</v>
      </c>
      <c r="H12" s="18">
        <f>'zał2 do WPF'!F33</f>
        <v>192000</v>
      </c>
      <c r="I12" s="18">
        <f>'zał2 do WPF'!G33</f>
        <v>0</v>
      </c>
      <c r="J12" s="18">
        <f>'zał2 do WPF'!H33</f>
        <v>0</v>
      </c>
      <c r="K12" s="18">
        <f>'zał2 do WPF'!I33</f>
        <v>0</v>
      </c>
      <c r="L12" s="18">
        <f>'zał2 do WPF'!J33</f>
        <v>0</v>
      </c>
      <c r="M12" s="18">
        <f>'zał2 do WPF'!K33</f>
        <v>0</v>
      </c>
      <c r="N12" s="18">
        <f>'zał2 do WPF'!L33</f>
        <v>0</v>
      </c>
      <c r="O12" s="18">
        <f>'zał2 do WPF'!M33</f>
        <v>0</v>
      </c>
      <c r="P12" s="18">
        <f>'zał2 do WPF'!N33</f>
        <v>0</v>
      </c>
      <c r="Q12" s="18">
        <f>'zał2 do WPF'!O33</f>
        <v>0</v>
      </c>
      <c r="R12" s="18">
        <f>'zał2 do WPF'!P33</f>
        <v>0</v>
      </c>
      <c r="S12" s="18">
        <f>'zał2 do WPF'!Q33</f>
        <v>0</v>
      </c>
      <c r="T12" s="18">
        <f>'zał2 do WPF'!R33</f>
        <v>0</v>
      </c>
      <c r="U12" s="18">
        <f>'zał2 do WPF'!S33</f>
        <v>0</v>
      </c>
      <c r="V12" s="18">
        <f>'zał2 do WPF'!T33</f>
        <v>0</v>
      </c>
      <c r="W12" s="18">
        <f>'zał2 do WPF'!U33</f>
        <v>0</v>
      </c>
      <c r="X12" s="18">
        <f>'zał2 do WPF'!V33</f>
        <v>0</v>
      </c>
      <c r="Y12" s="18">
        <f>'zał2 do WPF'!W33</f>
        <v>0</v>
      </c>
      <c r="Z12" s="18">
        <f>'zał2 do WPF'!X33</f>
        <v>0</v>
      </c>
      <c r="AA12" s="18">
        <f>'zał2 do WPF'!Y33</f>
        <v>0</v>
      </c>
      <c r="AB12" s="18">
        <f>'zał2 do WPF'!Z33</f>
        <v>0</v>
      </c>
    </row>
    <row r="13" spans="1:28" ht="12.75">
      <c r="A13" s="15" t="s">
        <v>18</v>
      </c>
      <c r="B13" s="20" t="s">
        <v>19</v>
      </c>
      <c r="C13" s="17">
        <v>0</v>
      </c>
      <c r="D13" s="17">
        <v>0</v>
      </c>
      <c r="E13" s="17">
        <v>0</v>
      </c>
      <c r="F13" s="14">
        <v>0</v>
      </c>
      <c r="G13" s="14">
        <v>0</v>
      </c>
      <c r="H13" s="18">
        <f>'zał2 do WPF'!F34</f>
        <v>0</v>
      </c>
      <c r="I13" s="18">
        <f>'zał2 do WPF'!G34</f>
        <v>0</v>
      </c>
      <c r="J13" s="18">
        <f>'zał2 do WPF'!H34</f>
        <v>0</v>
      </c>
      <c r="K13" s="18">
        <f>'zał2 do WPF'!I34</f>
        <v>0</v>
      </c>
      <c r="L13" s="18">
        <f>'zał2 do WPF'!J34</f>
        <v>0</v>
      </c>
      <c r="M13" s="18">
        <f>'zał2 do WPF'!K34</f>
        <v>0</v>
      </c>
      <c r="N13" s="18">
        <f>'zał2 do WPF'!L34</f>
        <v>0</v>
      </c>
      <c r="O13" s="18">
        <f>'zał2 do WPF'!M34</f>
        <v>0</v>
      </c>
      <c r="P13" s="18">
        <f>'zał2 do WPF'!N34</f>
        <v>0</v>
      </c>
      <c r="Q13" s="18">
        <f>'zał2 do WPF'!O34</f>
        <v>0</v>
      </c>
      <c r="R13" s="18">
        <f>'zał2 do WPF'!P34</f>
        <v>0</v>
      </c>
      <c r="S13" s="18">
        <f>'zał2 do WPF'!Q34</f>
        <v>0</v>
      </c>
      <c r="T13" s="18">
        <f>'zał2 do WPF'!R34</f>
        <v>0</v>
      </c>
      <c r="U13" s="18">
        <f>'zał2 do WPF'!S34</f>
        <v>0</v>
      </c>
      <c r="V13" s="18">
        <f>'zał2 do WPF'!T34</f>
        <v>0</v>
      </c>
      <c r="W13" s="18">
        <f>'zał2 do WPF'!U34</f>
        <v>0</v>
      </c>
      <c r="X13" s="18">
        <f>'zał2 do WPF'!V34</f>
        <v>0</v>
      </c>
      <c r="Y13" s="18">
        <f>'zał2 do WPF'!W34</f>
        <v>0</v>
      </c>
      <c r="Z13" s="18">
        <f>'zał2 do WPF'!X34</f>
        <v>0</v>
      </c>
      <c r="AA13" s="18">
        <f>'zał2 do WPF'!Y34</f>
        <v>0</v>
      </c>
      <c r="AB13" s="18">
        <f>'zał2 do WPF'!Z34</f>
        <v>0</v>
      </c>
    </row>
    <row r="14" spans="1:28" ht="12.75">
      <c r="A14" s="15" t="s">
        <v>20</v>
      </c>
      <c r="B14" s="20" t="s">
        <v>21</v>
      </c>
      <c r="C14" s="17">
        <v>0</v>
      </c>
      <c r="D14" s="17">
        <v>0</v>
      </c>
      <c r="E14" s="17">
        <v>0</v>
      </c>
      <c r="F14" s="14">
        <v>942064.56</v>
      </c>
      <c r="G14" s="14">
        <v>946646.2100000001</v>
      </c>
      <c r="H14" s="18">
        <f>'zał3 do WPF'!H9</f>
        <v>468185</v>
      </c>
      <c r="I14" s="18">
        <f>'zał3 do WPF'!I9</f>
        <v>55620</v>
      </c>
      <c r="J14" s="18">
        <f>'zał3 do WPF'!J9</f>
        <v>30000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</row>
    <row r="15" spans="1:28" ht="12.75">
      <c r="A15" s="11">
        <v>3</v>
      </c>
      <c r="B15" s="19" t="s">
        <v>22</v>
      </c>
      <c r="C15" s="13">
        <f>SUM(C5-C9)</f>
        <v>11239942</v>
      </c>
      <c r="D15" s="13">
        <f>SUM(D5-D9)</f>
        <v>15048712</v>
      </c>
      <c r="E15" s="13">
        <f>SUM(E5-E9)</f>
        <v>22838492.42</v>
      </c>
      <c r="F15" s="14">
        <v>31629269.999999993</v>
      </c>
      <c r="G15" s="14">
        <v>31629270.000000007</v>
      </c>
      <c r="H15" s="13">
        <f>SUM(H5-H9)</f>
        <v>23722744</v>
      </c>
      <c r="I15" s="13">
        <f>SUM(I5-I9)</f>
        <v>18540718.26693</v>
      </c>
      <c r="J15" s="13">
        <f>SUM(J5-J9)</f>
        <v>13996326.574781</v>
      </c>
      <c r="K15" s="13">
        <f>SUM(K5-K9)</f>
        <v>14216312.075971551</v>
      </c>
      <c r="L15" s="13">
        <f>SUM(L5-L9)</f>
        <v>14451007.34590517</v>
      </c>
      <c r="M15" s="13">
        <f>SUM(M5-M9)</f>
        <v>14700912.418666415</v>
      </c>
      <c r="N15" s="13">
        <f>SUM(N5-N9)</f>
        <v>14966544.150334015</v>
      </c>
      <c r="O15" s="13">
        <f>SUM(O5-O9)</f>
        <v>15248436.240090936</v>
      </c>
      <c r="P15" s="13">
        <f>SUM(P5-P9)</f>
        <v>15608038.61651747</v>
      </c>
      <c r="Q15" s="13">
        <f>SUM(Q5-Q9)</f>
        <v>16077873.580479532</v>
      </c>
      <c r="R15" s="13">
        <f>SUM(R5-R9)</f>
        <v>16565682.352243535</v>
      </c>
      <c r="S15" s="13">
        <f>SUM(S5-S9)</f>
        <v>17072074.69547072</v>
      </c>
      <c r="T15" s="13">
        <f>SUM(T5-T9)</f>
        <v>17597680.85376437</v>
      </c>
      <c r="U15" s="13">
        <f>SUM(U5-U9)</f>
        <v>18143152.23286614</v>
      </c>
      <c r="V15" s="13">
        <f>SUM(V5-V9)</f>
        <v>18709162.105419874</v>
      </c>
      <c r="W15" s="13">
        <f>SUM(W5-W9)</f>
        <v>19296406.339045405</v>
      </c>
      <c r="X15" s="13">
        <f>SUM(X5-X9)</f>
        <v>19905604.148488373</v>
      </c>
      <c r="Y15" s="13">
        <f>SUM(Y5-Y9)</f>
        <v>20537498.872638196</v>
      </c>
      <c r="Z15" s="13">
        <f>SUM(Z5-Z9)</f>
        <v>21192858.777231008</v>
      </c>
      <c r="AA15" s="13">
        <f>SUM(AA5-AA9)</f>
        <v>21872477.164082095</v>
      </c>
      <c r="AB15" s="13">
        <f>SUM(AB5-AB9)</f>
        <v>22605486.987719804</v>
      </c>
    </row>
    <row r="16" spans="1:28" ht="12.75">
      <c r="A16" s="11">
        <v>4</v>
      </c>
      <c r="B16" s="19" t="s">
        <v>23</v>
      </c>
      <c r="C16" s="17">
        <v>2208400</v>
      </c>
      <c r="D16" s="17">
        <v>4448000</v>
      </c>
      <c r="E16" s="17">
        <v>3064970</v>
      </c>
      <c r="F16" s="14">
        <v>5882992</v>
      </c>
      <c r="G16" s="14">
        <v>5882992</v>
      </c>
      <c r="H16" s="18">
        <f>H57</f>
        <v>1950140</v>
      </c>
      <c r="I16" s="18">
        <f>I57</f>
        <v>750000</v>
      </c>
      <c r="J16" s="18">
        <f>J57</f>
        <v>9791852.191</v>
      </c>
      <c r="K16" s="18">
        <f>K57</f>
        <v>10451278.072921</v>
      </c>
      <c r="L16" s="18">
        <f>L57</f>
        <v>10878441.308181554</v>
      </c>
      <c r="M16" s="18">
        <f>M57</f>
        <v>11245314.312185168</v>
      </c>
      <c r="N16" s="18">
        <f>N57</f>
        <v>11625147.119016416</v>
      </c>
      <c r="O16" s="18">
        <f>O57</f>
        <v>12018389.084754013</v>
      </c>
      <c r="P16" s="18">
        <f>P57</f>
        <v>12425504.923580937</v>
      </c>
      <c r="Q16" s="18">
        <f>Q57</f>
        <v>12846975.22672747</v>
      </c>
      <c r="R16" s="18">
        <f>R57</f>
        <v>13283296.99878703</v>
      </c>
      <c r="S16" s="18">
        <f>S57</f>
        <v>13734984.211981356</v>
      </c>
      <c r="T16" s="18">
        <f>T57</f>
        <v>14202568.378971681</v>
      </c>
      <c r="U16" s="18">
        <f>U57</f>
        <v>14686599.14483127</v>
      </c>
      <c r="V16" s="18">
        <f>V57</f>
        <v>15187644.898815826</v>
      </c>
      <c r="W16" s="18">
        <f>W57</f>
        <v>15706293.406588763</v>
      </c>
      <c r="X16" s="18">
        <f>X57</f>
        <v>16243152.463579953</v>
      </c>
      <c r="Y16" s="18">
        <f>Y57</f>
        <v>16798850.570179462</v>
      </c>
      <c r="Z16" s="18">
        <f>Z57</f>
        <v>17374037.62949042</v>
      </c>
      <c r="AA16" s="18">
        <f>AA57</f>
        <v>17969385.668389097</v>
      </c>
      <c r="AB16" s="18">
        <f>AB57</f>
        <v>18585589.58266513</v>
      </c>
    </row>
    <row r="17" spans="1:28" ht="12.75">
      <c r="A17" s="15" t="s">
        <v>8</v>
      </c>
      <c r="B17" s="20" t="s">
        <v>24</v>
      </c>
      <c r="C17" s="17">
        <v>0</v>
      </c>
      <c r="D17" s="17">
        <v>0</v>
      </c>
      <c r="E17" s="17">
        <v>0</v>
      </c>
      <c r="F17" s="14">
        <v>5882992</v>
      </c>
      <c r="G17" s="14">
        <v>5882992</v>
      </c>
      <c r="H17" s="18">
        <f>H16</f>
        <v>1950140</v>
      </c>
      <c r="I17" s="18">
        <f>I16</f>
        <v>750000</v>
      </c>
      <c r="J17" s="18">
        <f>J16-J56</f>
        <v>9041852.191</v>
      </c>
      <c r="K17" s="18">
        <f>K16-K56</f>
        <v>9701278.072921</v>
      </c>
      <c r="L17" s="18">
        <f>L16-L56</f>
        <v>10128441.308181554</v>
      </c>
      <c r="M17" s="18">
        <f>M16-M56</f>
        <v>10495314.312185168</v>
      </c>
      <c r="N17" s="18">
        <f>N16-N56</f>
        <v>10875147.119016416</v>
      </c>
      <c r="O17" s="18">
        <f>O16-O56</f>
        <v>11268389.084754013</v>
      </c>
      <c r="P17" s="18">
        <f>P16-P56</f>
        <v>11675504.923580937</v>
      </c>
      <c r="Q17" s="18">
        <f>Q16-Q56</f>
        <v>12096975.22672747</v>
      </c>
      <c r="R17" s="18">
        <f>R16-R56</f>
        <v>12533296.99878703</v>
      </c>
      <c r="S17" s="18">
        <f>S16-S56</f>
        <v>12984984.211981356</v>
      </c>
      <c r="T17" s="18">
        <f>T16-T56</f>
        <v>13452568.378971681</v>
      </c>
      <c r="U17" s="18">
        <f>U16-U56</f>
        <v>13936599.14483127</v>
      </c>
      <c r="V17" s="18">
        <f>V16-V56</f>
        <v>14437644.898815826</v>
      </c>
      <c r="W17" s="18">
        <f>W16-W56</f>
        <v>14956293.406588763</v>
      </c>
      <c r="X17" s="18">
        <f>X16-X56</f>
        <v>15493152.463579953</v>
      </c>
      <c r="Y17" s="18">
        <f>Y16-Y56</f>
        <v>16048850.570179462</v>
      </c>
      <c r="Z17" s="18">
        <f>Z16-Z56</f>
        <v>16624037.62949042</v>
      </c>
      <c r="AA17" s="18">
        <f>AA16-AA56</f>
        <v>17219385.668389097</v>
      </c>
      <c r="AB17" s="18">
        <f>AB16-AB56</f>
        <v>17835589.58266513</v>
      </c>
    </row>
    <row r="18" spans="1:28" ht="12.75">
      <c r="A18" s="11">
        <v>5</v>
      </c>
      <c r="B18" s="19" t="s">
        <v>25</v>
      </c>
      <c r="C18" s="17">
        <v>0</v>
      </c>
      <c r="D18" s="17">
        <v>0</v>
      </c>
      <c r="E18" s="17">
        <v>0</v>
      </c>
      <c r="F18" s="14">
        <v>0</v>
      </c>
      <c r="G18" s="14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</row>
    <row r="19" spans="1:28" ht="12.75">
      <c r="A19" s="11">
        <v>6</v>
      </c>
      <c r="B19" s="19" t="s">
        <v>26</v>
      </c>
      <c r="C19" s="13">
        <f>SUM(C15+C16+C18)</f>
        <v>13448342</v>
      </c>
      <c r="D19" s="13">
        <f>SUM(D15+D16+D18)</f>
        <v>19496712</v>
      </c>
      <c r="E19" s="13">
        <f>SUM(E15+E16+E18)</f>
        <v>25903462.42</v>
      </c>
      <c r="F19" s="14">
        <v>37512261.99999999</v>
      </c>
      <c r="G19" s="14">
        <v>37512262.00000001</v>
      </c>
      <c r="H19" s="13">
        <f>SUM(H15+H16+H18)</f>
        <v>25672884</v>
      </c>
      <c r="I19" s="13">
        <f>SUM(I15+I16+I18)</f>
        <v>19290718.26693</v>
      </c>
      <c r="J19" s="13">
        <f>SUM(J15+J16+J18)</f>
        <v>23788178.765781</v>
      </c>
      <c r="K19" s="13">
        <f>SUM(K15+K16+K18)</f>
        <v>24667590.14889255</v>
      </c>
      <c r="L19" s="13">
        <f>SUM(L15+L16+L18)</f>
        <v>25329448.654086724</v>
      </c>
      <c r="M19" s="13">
        <f>SUM(M15+M16+M18)</f>
        <v>25946226.730851583</v>
      </c>
      <c r="N19" s="13">
        <f>SUM(N15+N16+N18)</f>
        <v>26591691.26935043</v>
      </c>
      <c r="O19" s="13">
        <f>SUM(O15+O16+O18)</f>
        <v>27266825.32484495</v>
      </c>
      <c r="P19" s="13">
        <f>SUM(P15+P16+P18)</f>
        <v>28033543.540098406</v>
      </c>
      <c r="Q19" s="13">
        <f>SUM(Q15+Q16+Q18)</f>
        <v>28924848.807207003</v>
      </c>
      <c r="R19" s="13">
        <f>SUM(R15+R16+R18)</f>
        <v>29848979.351030566</v>
      </c>
      <c r="S19" s="13">
        <f>SUM(S15+S16+S18)</f>
        <v>30807058.907452077</v>
      </c>
      <c r="T19" s="13">
        <f>SUM(T15+T16+T18)</f>
        <v>31800249.23273605</v>
      </c>
      <c r="U19" s="13">
        <f>SUM(U15+U16+U18)</f>
        <v>32829751.37769741</v>
      </c>
      <c r="V19" s="13">
        <f>SUM(V15+V16+V18)</f>
        <v>33896807.0042357</v>
      </c>
      <c r="W19" s="13">
        <f>SUM(W15+W16+W18)</f>
        <v>35002699.74563417</v>
      </c>
      <c r="X19" s="13">
        <f>SUM(X15+X16+X18)</f>
        <v>36148756.612068325</v>
      </c>
      <c r="Y19" s="13">
        <f>SUM(Y15+Y16+Y18)</f>
        <v>37336349.44281766</v>
      </c>
      <c r="Z19" s="13">
        <f>SUM(Z15+Z16+Z18)</f>
        <v>38566896.40672143</v>
      </c>
      <c r="AA19" s="13">
        <f>SUM(AA15+AA16+AA18)</f>
        <v>39841862.83247119</v>
      </c>
      <c r="AB19" s="13">
        <f>SUM(AB15+AB16+AB18)</f>
        <v>41191076.570384935</v>
      </c>
    </row>
    <row r="20" spans="1:28" ht="12.75">
      <c r="A20" s="11">
        <v>7</v>
      </c>
      <c r="B20" s="12" t="s">
        <v>27</v>
      </c>
      <c r="C20" s="13">
        <f>SUM(C21:C22)</f>
        <v>5006333</v>
      </c>
      <c r="D20" s="13">
        <f>SUM(D21:D22)</f>
        <v>7006783</v>
      </c>
      <c r="E20" s="13">
        <f>SUM(E21:E22)</f>
        <v>7727540.87</v>
      </c>
      <c r="F20" s="24">
        <v>9001134</v>
      </c>
      <c r="G20" s="24">
        <v>9001134</v>
      </c>
      <c r="H20" s="13">
        <f>SUM(H21:H22)</f>
        <v>9681140.89</v>
      </c>
      <c r="I20" s="13">
        <f>SUM(I21:I22)</f>
        <v>8001163.510430001</v>
      </c>
      <c r="J20" s="13">
        <f>SUM(J21:J22)</f>
        <v>7649874.73636</v>
      </c>
      <c r="K20" s="13">
        <f>SUM(K21:K22)</f>
        <v>5040833.00229</v>
      </c>
      <c r="L20" s="13">
        <f>SUM(L21:L22)</f>
        <v>4833655.26822</v>
      </c>
      <c r="M20" s="13">
        <f>SUM(M21:M22)</f>
        <v>4626477.534150001</v>
      </c>
      <c r="N20" s="13">
        <f>SUM(N21:N22)</f>
        <v>4419299.80008</v>
      </c>
      <c r="O20" s="13">
        <f>SUM(O21:O22)</f>
        <v>4212130.52601</v>
      </c>
      <c r="P20" s="13">
        <f>SUM(P21:P22)</f>
        <v>3050896.32854</v>
      </c>
      <c r="Q20" s="13">
        <f>SUM(Q21:Q22)</f>
        <v>1449985.2348700005</v>
      </c>
      <c r="R20" s="13">
        <f>SUM(R21:R22)</f>
        <v>1396552.8712000004</v>
      </c>
      <c r="S20" s="13">
        <f>SUM(S21:S22)</f>
        <v>1343120.5075300005</v>
      </c>
      <c r="T20" s="13">
        <f>SUM(T21:T22)</f>
        <v>1289688.1438600004</v>
      </c>
      <c r="U20" s="13">
        <f>SUM(U21:U22)</f>
        <v>1236255.7801900003</v>
      </c>
      <c r="V20" s="13">
        <f>SUM(V21:V22)</f>
        <v>1182823.4165200004</v>
      </c>
      <c r="W20" s="13">
        <f>SUM(W21:W22)</f>
        <v>1129391.0528500003</v>
      </c>
      <c r="X20" s="13">
        <f>SUM(X21:X22)</f>
        <v>1075958.6891800005</v>
      </c>
      <c r="Y20" s="13">
        <f>SUM(Y21:Y22)</f>
        <v>1022526.3255100005</v>
      </c>
      <c r="Z20" s="13">
        <f>SUM(Z21:Z22)</f>
        <v>969093.9618400005</v>
      </c>
      <c r="AA20" s="13">
        <f>SUM(AA21:AA22)</f>
        <v>915672.8781700004</v>
      </c>
      <c r="AB20" s="13">
        <f>SUM(AB21:AB22)</f>
        <v>418691.39450000005</v>
      </c>
    </row>
    <row r="21" spans="1:28" ht="12.75">
      <c r="A21" s="15" t="s">
        <v>8</v>
      </c>
      <c r="B21" s="20" t="s">
        <v>28</v>
      </c>
      <c r="C21" s="17">
        <v>4216859</v>
      </c>
      <c r="D21" s="17">
        <v>5932009</v>
      </c>
      <c r="E21" s="17">
        <v>6476116.28</v>
      </c>
      <c r="F21" s="14">
        <v>6701134</v>
      </c>
      <c r="G21" s="14">
        <v>6701134</v>
      </c>
      <c r="H21" s="18">
        <f>'zał2 do WPF'!F24</f>
        <v>7281140.890000001</v>
      </c>
      <c r="I21" s="18">
        <f>'zał2 do WPF'!G24</f>
        <v>5854825.4345</v>
      </c>
      <c r="J21" s="18">
        <f>'zał2 do WPF'!H24</f>
        <v>5854826.2345</v>
      </c>
      <c r="K21" s="18">
        <f>'zał2 do WPF'!I24</f>
        <v>3452962.2345</v>
      </c>
      <c r="L21" s="18">
        <f>'zał2 do WPF'!J24</f>
        <v>3452962.2345</v>
      </c>
      <c r="M21" s="18">
        <f>'zał2 do WPF'!K24</f>
        <v>3452962.2345</v>
      </c>
      <c r="N21" s="18">
        <f>'zał2 do WPF'!L24</f>
        <v>3452962.2345</v>
      </c>
      <c r="O21" s="18">
        <f>'zał2 do WPF'!M24</f>
        <v>3452971.2345</v>
      </c>
      <c r="P21" s="18">
        <f>'zał2 do WPF'!N24</f>
        <v>2438018.1245</v>
      </c>
      <c r="Q21" s="18">
        <f>'zał2 do WPF'!O24</f>
        <v>890539.3945</v>
      </c>
      <c r="R21" s="18">
        <f>'zał2 do WPF'!P24</f>
        <v>890539.3945</v>
      </c>
      <c r="S21" s="18">
        <f>'zał2 do WPF'!Q24</f>
        <v>890539.3945</v>
      </c>
      <c r="T21" s="18">
        <f>'zał2 do WPF'!R24</f>
        <v>890539.3945</v>
      </c>
      <c r="U21" s="18">
        <f>'zał2 do WPF'!S24</f>
        <v>890539.3945</v>
      </c>
      <c r="V21" s="18">
        <f>'zał2 do WPF'!T24</f>
        <v>890539.3945</v>
      </c>
      <c r="W21" s="18">
        <f>'zał2 do WPF'!U24</f>
        <v>890539.3945</v>
      </c>
      <c r="X21" s="18">
        <f>'zał2 do WPF'!V24</f>
        <v>890539.3945</v>
      </c>
      <c r="Y21" s="18">
        <f>'zał2 do WPF'!W24</f>
        <v>890539.3945</v>
      </c>
      <c r="Z21" s="18">
        <f>'zał2 do WPF'!X24</f>
        <v>890539.3945</v>
      </c>
      <c r="AA21" s="18">
        <f>'zał2 do WPF'!Y24</f>
        <v>890551.3945</v>
      </c>
      <c r="AB21" s="18">
        <f>'zał2 do WPF'!Z24</f>
        <v>418691.39450000005</v>
      </c>
    </row>
    <row r="22" spans="1:28" ht="12.75">
      <c r="A22" s="15" t="s">
        <v>10</v>
      </c>
      <c r="B22" s="20" t="s">
        <v>29</v>
      </c>
      <c r="C22" s="18">
        <f>SUM(C51)</f>
        <v>789474</v>
      </c>
      <c r="D22" s="18">
        <f>SUM(D51)</f>
        <v>1074774</v>
      </c>
      <c r="E22" s="18">
        <f>SUM(E51)</f>
        <v>1251424.59</v>
      </c>
      <c r="F22" s="14">
        <v>2300000</v>
      </c>
      <c r="G22" s="14">
        <v>2300000</v>
      </c>
      <c r="H22" s="18">
        <f>SUM(H51)</f>
        <v>2400000</v>
      </c>
      <c r="I22" s="18">
        <f>SUM(I51)</f>
        <v>2146338.07593</v>
      </c>
      <c r="J22" s="18">
        <f>SUM(J51)</f>
        <v>1795048.5018600002</v>
      </c>
      <c r="K22" s="18">
        <f>SUM(K51)</f>
        <v>1587870.7677900002</v>
      </c>
      <c r="L22" s="18">
        <f>SUM(L51)</f>
        <v>1380693.0337200004</v>
      </c>
      <c r="M22" s="18">
        <f>SUM(M51)</f>
        <v>1173515.2996500004</v>
      </c>
      <c r="N22" s="18">
        <f>SUM(N51)</f>
        <v>966337.5655800004</v>
      </c>
      <c r="O22" s="18">
        <f>SUM(O51)</f>
        <v>759159.2915100005</v>
      </c>
      <c r="P22" s="18">
        <f>SUM(P51)</f>
        <v>612878.2040400004</v>
      </c>
      <c r="Q22" s="18">
        <f>SUM(Q51)</f>
        <v>559445.8403700005</v>
      </c>
      <c r="R22" s="18">
        <f>SUM(R51)</f>
        <v>506013.47670000046</v>
      </c>
      <c r="S22" s="18">
        <f>SUM(S51)</f>
        <v>452581.1130300004</v>
      </c>
      <c r="T22" s="18">
        <f>SUM(T51)</f>
        <v>399148.7493600004</v>
      </c>
      <c r="U22" s="18">
        <f>SUM(U51)</f>
        <v>345716.3856900004</v>
      </c>
      <c r="V22" s="18">
        <f>SUM(V51)</f>
        <v>292284.0220200004</v>
      </c>
      <c r="W22" s="18">
        <f>SUM(W51)</f>
        <v>238851.65835000036</v>
      </c>
      <c r="X22" s="18">
        <f>SUM(X51)</f>
        <v>185419.29468000037</v>
      </c>
      <c r="Y22" s="18">
        <f>SUM(Y51)</f>
        <v>131986.93101000038</v>
      </c>
      <c r="Z22" s="18">
        <f>SUM(Z51)</f>
        <v>78554.56734000039</v>
      </c>
      <c r="AA22" s="18">
        <f>SUM(AA51)</f>
        <v>25121.48367000038</v>
      </c>
      <c r="AB22" s="18">
        <f>SUM(AB51)</f>
        <v>0</v>
      </c>
    </row>
    <row r="23" spans="1:28" ht="12.75">
      <c r="A23" s="11">
        <v>8</v>
      </c>
      <c r="B23" s="19" t="s">
        <v>30</v>
      </c>
      <c r="C23" s="17">
        <v>0</v>
      </c>
      <c r="D23" s="17">
        <v>0</v>
      </c>
      <c r="E23" s="17">
        <v>0</v>
      </c>
      <c r="F23" s="14">
        <v>0</v>
      </c>
      <c r="G23" s="14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</row>
    <row r="24" spans="1:28" ht="12.75">
      <c r="A24" s="11">
        <v>9</v>
      </c>
      <c r="B24" s="19" t="s">
        <v>31</v>
      </c>
      <c r="C24" s="13">
        <f>SUM(C19-C20-C23)</f>
        <v>8442009</v>
      </c>
      <c r="D24" s="13">
        <f>SUM(D19-D20-D23)</f>
        <v>12489929</v>
      </c>
      <c r="E24" s="13">
        <f>SUM(E19-E20-E23)</f>
        <v>18175921.55</v>
      </c>
      <c r="F24" s="14">
        <v>28511127.999999993</v>
      </c>
      <c r="G24" s="14">
        <v>28511128.000000007</v>
      </c>
      <c r="H24" s="13">
        <f>SUM(H19-H20-H23)</f>
        <v>15991743.11</v>
      </c>
      <c r="I24" s="13">
        <f>SUM(I19-I20-I23)</f>
        <v>11289554.756499998</v>
      </c>
      <c r="J24" s="13">
        <f>SUM(J19-J20-J23)</f>
        <v>16138304.029421</v>
      </c>
      <c r="K24" s="13">
        <f>SUM(K19-K20-K23)</f>
        <v>19626757.146602552</v>
      </c>
      <c r="L24" s="13">
        <f>SUM(L19-L20-L23)</f>
        <v>20495793.385866724</v>
      </c>
      <c r="M24" s="13">
        <f>SUM(M19-M20-M23)</f>
        <v>21319749.196701583</v>
      </c>
      <c r="N24" s="13">
        <f>SUM(N19-N20-N23)</f>
        <v>22172391.46927043</v>
      </c>
      <c r="O24" s="13">
        <f>SUM(O19-O20-O23)</f>
        <v>23054694.79883495</v>
      </c>
      <c r="P24" s="13">
        <f>SUM(P19-P20-P23)</f>
        <v>24982647.211558405</v>
      </c>
      <c r="Q24" s="13">
        <f>SUM(Q19-Q20-Q23)</f>
        <v>27474863.572337</v>
      </c>
      <c r="R24" s="13">
        <f>SUM(R19-R20-R23)</f>
        <v>28452426.479830567</v>
      </c>
      <c r="S24" s="13">
        <f>SUM(S19-S20-S23)</f>
        <v>29463938.399922077</v>
      </c>
      <c r="T24" s="13">
        <f>SUM(T19-T20-T23)</f>
        <v>30510561.08887605</v>
      </c>
      <c r="U24" s="13">
        <f>SUM(U19-U20-U23)</f>
        <v>31593495.59750741</v>
      </c>
      <c r="V24" s="13">
        <f>SUM(V19-V20-V23)</f>
        <v>32713983.5877157</v>
      </c>
      <c r="W24" s="13">
        <f>SUM(W19-W20-W23)</f>
        <v>33873308.69278417</v>
      </c>
      <c r="X24" s="13">
        <f>SUM(X19-X20-X23)</f>
        <v>35072797.92288832</v>
      </c>
      <c r="Y24" s="13">
        <f>SUM(Y19-Y20-Y23)</f>
        <v>36313823.117307656</v>
      </c>
      <c r="Z24" s="13">
        <f>SUM(Z19-Z20-Z23)</f>
        <v>37597802.444881424</v>
      </c>
      <c r="AA24" s="13">
        <f>SUM(AA19-AA20-AA23)</f>
        <v>38926189.95430119</v>
      </c>
      <c r="AB24" s="13">
        <f>SUM(AB19-AB20-AB23)</f>
        <v>40772385.17588493</v>
      </c>
    </row>
    <row r="25" spans="1:28" ht="12.75">
      <c r="A25" s="11">
        <v>10</v>
      </c>
      <c r="B25" s="12" t="s">
        <v>32</v>
      </c>
      <c r="C25" s="17">
        <v>18745557</v>
      </c>
      <c r="D25" s="17">
        <v>19672209</v>
      </c>
      <c r="E25" s="18">
        <f>'zał2 do WPF'!D11</f>
        <v>28233437.43</v>
      </c>
      <c r="F25" s="14">
        <v>37712176</v>
      </c>
      <c r="G25" s="14">
        <v>37712176</v>
      </c>
      <c r="H25" s="18">
        <f>'zał2 do WPF'!F11</f>
        <v>24365571</v>
      </c>
      <c r="I25" s="18">
        <f>'zał2 do WPF'!G11</f>
        <v>7352528</v>
      </c>
      <c r="J25" s="18">
        <f>'zał2 do WPF'!H11</f>
        <v>2500000</v>
      </c>
      <c r="K25" s="18">
        <f>'zał2 do WPF'!I11</f>
        <v>2500000</v>
      </c>
      <c r="L25" s="18">
        <f>'zał2 do WPF'!J11</f>
        <v>2575000</v>
      </c>
      <c r="M25" s="18">
        <f>'zał2 do WPF'!K11</f>
        <v>2652250</v>
      </c>
      <c r="N25" s="18">
        <f>'zał2 do WPF'!L11</f>
        <v>2731817.5</v>
      </c>
      <c r="O25" s="18">
        <f>'zał2 do WPF'!M11</f>
        <v>2813772.025</v>
      </c>
      <c r="P25" s="18">
        <f>'zał2 do WPF'!N11</f>
        <v>2898185.1857499997</v>
      </c>
      <c r="Q25" s="18">
        <f>'zał2 do WPF'!O11</f>
        <v>2985130.7413224997</v>
      </c>
      <c r="R25" s="18">
        <f>'zał2 do WPF'!P11</f>
        <v>3074684.663562175</v>
      </c>
      <c r="S25" s="18">
        <f>'zał2 do WPF'!Q11</f>
        <v>3166925.2034690403</v>
      </c>
      <c r="T25" s="18">
        <f>'zał2 do WPF'!R11</f>
        <v>3261932.9595731115</v>
      </c>
      <c r="U25" s="18">
        <f>'zał2 do WPF'!S11</f>
        <v>3359790.948360305</v>
      </c>
      <c r="V25" s="18">
        <f>'zał2 do WPF'!T11</f>
        <v>3460584.676811114</v>
      </c>
      <c r="W25" s="18">
        <f>'zał2 do WPF'!U11</f>
        <v>3564402.2171154474</v>
      </c>
      <c r="X25" s="18">
        <f>'zał2 do WPF'!V11</f>
        <v>3671334.283628911</v>
      </c>
      <c r="Y25" s="18">
        <f>'zał2 do WPF'!W11</f>
        <v>3781474.312137778</v>
      </c>
      <c r="Z25" s="18">
        <f>'zał2 do WPF'!X11</f>
        <v>3894918.5415019114</v>
      </c>
      <c r="AA25" s="18">
        <f>'zał2 do WPF'!Y11</f>
        <v>4011766.0977469687</v>
      </c>
      <c r="AB25" s="18">
        <f>'zał2 do WPF'!Z11</f>
        <v>4132119.080679378</v>
      </c>
    </row>
    <row r="26" spans="1:28" ht="12.75">
      <c r="A26" s="15" t="s">
        <v>8</v>
      </c>
      <c r="B26" s="20" t="s">
        <v>33</v>
      </c>
      <c r="C26" s="17">
        <v>18745557</v>
      </c>
      <c r="D26" s="17">
        <v>19672209</v>
      </c>
      <c r="E26" s="18">
        <f>E25</f>
        <v>28233437.43</v>
      </c>
      <c r="F26" s="14">
        <v>37712176</v>
      </c>
      <c r="G26" s="14">
        <v>37712176</v>
      </c>
      <c r="H26" s="18">
        <f>'zał3 do WPF'!H10</f>
        <v>22773571</v>
      </c>
      <c r="I26" s="18">
        <f>'zał3 do WPF'!I10</f>
        <v>6352528</v>
      </c>
      <c r="J26" s="18">
        <f>'zał3 do WPF'!J10</f>
        <v>1500000</v>
      </c>
      <c r="K26" s="18">
        <f>'zał3 do WPF'!K10</f>
        <v>1500000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</row>
    <row r="27" spans="1:28" ht="12.75">
      <c r="A27" s="11">
        <v>11</v>
      </c>
      <c r="B27" s="19" t="s">
        <v>34</v>
      </c>
      <c r="C27" s="17">
        <v>14411180</v>
      </c>
      <c r="D27" s="17">
        <v>10425160</v>
      </c>
      <c r="E27" s="17">
        <v>15861658</v>
      </c>
      <c r="F27" s="14">
        <v>9201048</v>
      </c>
      <c r="G27" s="14">
        <v>9201048</v>
      </c>
      <c r="H27" s="18">
        <f>'zał2 do WPF'!F15</f>
        <v>8373827.890000001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3">
        <v>0</v>
      </c>
      <c r="AA27" s="23">
        <v>0</v>
      </c>
      <c r="AB27" s="23">
        <v>0</v>
      </c>
    </row>
    <row r="28" spans="1:28" ht="12.75">
      <c r="A28" s="11">
        <v>12</v>
      </c>
      <c r="B28" s="19" t="s">
        <v>35</v>
      </c>
      <c r="C28" s="25">
        <f>SUM(C24-C25+C27)</f>
        <v>4107632</v>
      </c>
      <c r="D28" s="25">
        <f>SUM(D24-D25+D27)</f>
        <v>3242880</v>
      </c>
      <c r="E28" s="25">
        <f>SUM(E24-E25+E27)</f>
        <v>5804142.120000001</v>
      </c>
      <c r="F28" s="26">
        <v>0</v>
      </c>
      <c r="G28" s="26">
        <v>0</v>
      </c>
      <c r="H28" s="25">
        <f>SUM(H24-H25+H27)</f>
        <v>0</v>
      </c>
      <c r="I28" s="25">
        <f>SUM(I24-I25+I27)</f>
        <v>3937026.7564999983</v>
      </c>
      <c r="J28" s="25">
        <f>SUM(J24-J25+J27)</f>
        <v>13638304.029421</v>
      </c>
      <c r="K28" s="25">
        <f>SUM(K24-K25+K27)</f>
        <v>17126757.146602552</v>
      </c>
      <c r="L28" s="25">
        <f>SUM(L24-L25+L27)</f>
        <v>17920793.385866724</v>
      </c>
      <c r="M28" s="25">
        <f>SUM(M24-M25+M27)</f>
        <v>18667499.196701583</v>
      </c>
      <c r="N28" s="25">
        <f>SUM(N24-N25+N27)</f>
        <v>19440573.96927043</v>
      </c>
      <c r="O28" s="25">
        <f>SUM(O24-O25+O27)</f>
        <v>20240922.77383495</v>
      </c>
      <c r="P28" s="25">
        <f>SUM(P24-P25+P27)</f>
        <v>22084462.025808405</v>
      </c>
      <c r="Q28" s="25">
        <f>SUM(Q24-Q25+Q27)</f>
        <v>24489732.831014503</v>
      </c>
      <c r="R28" s="25">
        <f>SUM(R24-R25+R27)</f>
        <v>25377741.816268392</v>
      </c>
      <c r="S28" s="25">
        <f>SUM(S24-S25+S27)</f>
        <v>26297013.196453035</v>
      </c>
      <c r="T28" s="25">
        <f>SUM(T24-T25+T27)</f>
        <v>27248628.129302938</v>
      </c>
      <c r="U28" s="25">
        <f>SUM(U24-U25+U27)</f>
        <v>28233704.649147104</v>
      </c>
      <c r="V28" s="25">
        <f>SUM(V24-V25+V27)</f>
        <v>29253398.910904586</v>
      </c>
      <c r="W28" s="25">
        <f>SUM(W24-W25+W27)</f>
        <v>30308906.47566872</v>
      </c>
      <c r="X28" s="25">
        <f>SUM(X24-X25+X27)</f>
        <v>31401463.639259413</v>
      </c>
      <c r="Y28" s="25">
        <f>SUM(Y24-Y25+Y27)</f>
        <v>32532348.805169877</v>
      </c>
      <c r="Z28" s="25">
        <f>SUM(Z24-Z25+Z27)</f>
        <v>33702883.903379515</v>
      </c>
      <c r="AA28" s="25">
        <f>SUM(AA24-AA25+AA27)</f>
        <v>34914423.856554225</v>
      </c>
      <c r="AB28" s="25">
        <f>SUM(AB24-AB25+AB27)</f>
        <v>36640266.09520555</v>
      </c>
    </row>
    <row r="29" spans="1:28" ht="12.75">
      <c r="A29" s="11">
        <v>13</v>
      </c>
      <c r="B29" s="12" t="s">
        <v>36</v>
      </c>
      <c r="C29" s="23">
        <v>24155833</v>
      </c>
      <c r="D29" s="23">
        <v>26648984.02</v>
      </c>
      <c r="E29" s="18">
        <f>'zał2 do WPF'!D46</f>
        <v>38034525.7</v>
      </c>
      <c r="F29" s="14">
        <v>40534439.7</v>
      </c>
      <c r="G29" s="14">
        <v>40534439.7</v>
      </c>
      <c r="H29" s="18">
        <f>'zał2 do WPF'!F46</f>
        <v>41627126.7</v>
      </c>
      <c r="I29" s="18">
        <f>'zał2 do WPF'!G46</f>
        <v>35772301.2655</v>
      </c>
      <c r="J29" s="18">
        <f>'zał2 do WPF'!H46</f>
        <v>29917475.031000003</v>
      </c>
      <c r="K29" s="18">
        <f>'zał2 do WPF'!I46</f>
        <v>26464512.796500005</v>
      </c>
      <c r="L29" s="18">
        <f>'zał2 do WPF'!J46</f>
        <v>23011550.562000006</v>
      </c>
      <c r="M29" s="18">
        <f>'zał2 do WPF'!K46</f>
        <v>19558588.327500008</v>
      </c>
      <c r="N29" s="18">
        <f>'zał2 do WPF'!L46</f>
        <v>16105626.093000008</v>
      </c>
      <c r="O29" s="18">
        <f>'zał2 do WPF'!M46</f>
        <v>12652654.858500008</v>
      </c>
      <c r="P29" s="18">
        <f>'zał2 do WPF'!N46</f>
        <v>10214636.734000009</v>
      </c>
      <c r="Q29" s="18">
        <f>'zał2 do WPF'!O46</f>
        <v>9324097.339500008</v>
      </c>
      <c r="R29" s="18">
        <f>'zał2 do WPF'!P46</f>
        <v>8433557.945000008</v>
      </c>
      <c r="S29" s="18">
        <f>'zał2 do WPF'!Q46</f>
        <v>7543018.550500007</v>
      </c>
      <c r="T29" s="18">
        <f>'zał2 do WPF'!R46</f>
        <v>6652479.156000007</v>
      </c>
      <c r="U29" s="18">
        <f>'zał2 do WPF'!S46</f>
        <v>5761939.761500007</v>
      </c>
      <c r="V29" s="18">
        <f>'zał2 do WPF'!T46</f>
        <v>4871400.367000006</v>
      </c>
      <c r="W29" s="18">
        <f>'zał2 do WPF'!U46</f>
        <v>3980860.972500006</v>
      </c>
      <c r="X29" s="18">
        <f>'zał2 do WPF'!V46</f>
        <v>3090321.5780000063</v>
      </c>
      <c r="Y29" s="18">
        <f>'zał2 do WPF'!W46</f>
        <v>2199782.1835000063</v>
      </c>
      <c r="Z29" s="18">
        <f>'zał2 do WPF'!X46</f>
        <v>1309242.7890000064</v>
      </c>
      <c r="AA29" s="18">
        <f>'zał2 do WPF'!Y46</f>
        <v>418691.39450000634</v>
      </c>
      <c r="AB29" s="18">
        <f>'zał2 do WPF'!Z46</f>
        <v>0</v>
      </c>
    </row>
    <row r="30" spans="1:28" ht="12.75">
      <c r="A30" s="15" t="s">
        <v>8</v>
      </c>
      <c r="B30" s="20" t="s">
        <v>37</v>
      </c>
      <c r="C30" s="27">
        <v>4861053</v>
      </c>
      <c r="D30" s="27">
        <v>7964322</v>
      </c>
      <c r="E30" s="18">
        <f>'zał2 do WPF'!D47</f>
        <v>9438082</v>
      </c>
      <c r="F30" s="14">
        <v>8929764.1</v>
      </c>
      <c r="G30" s="14">
        <v>8929764.1</v>
      </c>
      <c r="H30" s="18">
        <f>'zał2 do WPF'!F47</f>
        <v>10316494.2</v>
      </c>
      <c r="I30" s="18">
        <f>'zał2 do WPF'!G47</f>
        <v>9101058.95</v>
      </c>
      <c r="J30" s="18">
        <f>'zał2 do WPF'!H47</f>
        <v>7885623.699999999</v>
      </c>
      <c r="K30" s="18">
        <f>'zał2 do WPF'!I47</f>
        <v>6893905.449999999</v>
      </c>
      <c r="L30" s="18">
        <f>'zał2 do WPF'!J47</f>
        <v>5902187.199999999</v>
      </c>
      <c r="M30" s="18">
        <f>'zał2 do WPF'!K47</f>
        <v>4910468.949999999</v>
      </c>
      <c r="N30" s="18">
        <f>'zał2 do WPF'!L47</f>
        <v>3918750.6999999993</v>
      </c>
      <c r="O30" s="18">
        <f>'zał2 do WPF'!M47</f>
        <v>2927029.4499999993</v>
      </c>
      <c r="P30" s="18">
        <f>'zał2 do WPF'!N47</f>
        <v>2406726.1999999993</v>
      </c>
      <c r="Q30" s="18">
        <f>'zał2 do WPF'!O47</f>
        <v>2199903.849999999</v>
      </c>
      <c r="R30" s="18">
        <f>'zał2 do WPF'!P47</f>
        <v>1993081.499999999</v>
      </c>
      <c r="S30" s="18">
        <f>'zał2 do WPF'!Q47</f>
        <v>1786259.149999999</v>
      </c>
      <c r="T30" s="18">
        <f>'zał2 do WPF'!R47</f>
        <v>1579436.7999999989</v>
      </c>
      <c r="U30" s="18">
        <f>'zał2 do WPF'!S47</f>
        <v>1372614.4499999988</v>
      </c>
      <c r="V30" s="18">
        <f>'zał2 do WPF'!T47</f>
        <v>1165792.0999999987</v>
      </c>
      <c r="W30" s="18">
        <f>'zał2 do WPF'!U47</f>
        <v>958969.7499999987</v>
      </c>
      <c r="X30" s="18">
        <f>'zał2 do WPF'!V47</f>
        <v>752147.3999999987</v>
      </c>
      <c r="Y30" s="18">
        <f>'zał2 do WPF'!W47</f>
        <v>545325.0499999988</v>
      </c>
      <c r="Z30" s="18">
        <f>'zał2 do WPF'!X47</f>
        <v>338502.6999999988</v>
      </c>
      <c r="AA30" s="18">
        <f>'zał2 do WPF'!Y47</f>
        <v>131634.34999999878</v>
      </c>
      <c r="AB30" s="18">
        <f>'zał2 do WPF'!Z47</f>
        <v>-1.2223608791828156E-09</v>
      </c>
    </row>
    <row r="31" spans="1:28" ht="12.75">
      <c r="A31" s="15" t="s">
        <v>10</v>
      </c>
      <c r="B31" s="20" t="s">
        <v>38</v>
      </c>
      <c r="C31" s="27">
        <v>1443268</v>
      </c>
      <c r="D31" s="27">
        <v>1189634</v>
      </c>
      <c r="E31" s="18">
        <f>'zał2 do WPF'!D26</f>
        <v>1661049</v>
      </c>
      <c r="F31" s="14">
        <v>1974529.9</v>
      </c>
      <c r="G31" s="14">
        <v>1974529.9</v>
      </c>
      <c r="H31" s="18">
        <f>'zał2 do WPF'!F26</f>
        <v>1245956.9</v>
      </c>
      <c r="I31" s="18">
        <f>'zał2 do WPF'!G26</f>
        <v>1215435.25</v>
      </c>
      <c r="J31" s="18">
        <f>'zał2 do WPF'!H26</f>
        <v>1215435.25</v>
      </c>
      <c r="K31" s="18">
        <f>'zał2 do WPF'!I26</f>
        <v>991718.25</v>
      </c>
      <c r="L31" s="18">
        <f>'zał2 do WPF'!J26</f>
        <v>991718.25</v>
      </c>
      <c r="M31" s="18">
        <f>'zał2 do WPF'!K26</f>
        <v>991718.25</v>
      </c>
      <c r="N31" s="18">
        <f>'zał2 do WPF'!L26</f>
        <v>991718.25</v>
      </c>
      <c r="O31" s="18">
        <f>'zał2 do WPF'!M26</f>
        <v>991721.25</v>
      </c>
      <c r="P31" s="18">
        <f>'zał2 do WPF'!N26</f>
        <v>520303.25</v>
      </c>
      <c r="Q31" s="18">
        <f>'zał2 do WPF'!O26</f>
        <v>206822.35</v>
      </c>
      <c r="R31" s="18">
        <f>'zał2 do WPF'!P26</f>
        <v>206822.35</v>
      </c>
      <c r="S31" s="18">
        <f>'zał2 do WPF'!Q26</f>
        <v>206822.35</v>
      </c>
      <c r="T31" s="18">
        <f>'zał2 do WPF'!R26</f>
        <v>206822.35</v>
      </c>
      <c r="U31" s="18">
        <f>'zał2 do WPF'!S26</f>
        <v>206822.35</v>
      </c>
      <c r="V31" s="18">
        <f>'zał2 do WPF'!T26</f>
        <v>206822.35</v>
      </c>
      <c r="W31" s="18">
        <f>'zał2 do WPF'!U26</f>
        <v>206822.35</v>
      </c>
      <c r="X31" s="18">
        <f>'zał2 do WPF'!V26</f>
        <v>206822.35</v>
      </c>
      <c r="Y31" s="18">
        <f>'zał2 do WPF'!W26</f>
        <v>206822.35</v>
      </c>
      <c r="Z31" s="18">
        <f>'zał2 do WPF'!X26</f>
        <v>206822.35</v>
      </c>
      <c r="AA31" s="18">
        <f>'zał2 do WPF'!Y26</f>
        <v>206868.35</v>
      </c>
      <c r="AB31" s="18">
        <f>'zał2 do WPF'!Z26</f>
        <v>131634.35</v>
      </c>
    </row>
    <row r="32" spans="1:28" ht="12.75">
      <c r="A32" s="11">
        <v>14</v>
      </c>
      <c r="B32" s="19" t="s">
        <v>39</v>
      </c>
      <c r="C32" s="23">
        <v>0</v>
      </c>
      <c r="D32" s="23">
        <v>0</v>
      </c>
      <c r="E32" s="23">
        <v>0</v>
      </c>
      <c r="F32" s="14">
        <v>0</v>
      </c>
      <c r="G32" s="14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23">
        <v>0</v>
      </c>
      <c r="AA32" s="23">
        <v>0</v>
      </c>
      <c r="AB32" s="23">
        <v>0</v>
      </c>
    </row>
    <row r="33" spans="1:28" ht="12.75">
      <c r="A33" s="11">
        <v>15</v>
      </c>
      <c r="B33" s="19" t="s">
        <v>40</v>
      </c>
      <c r="C33" s="28">
        <f>SUM(C20+C12)/C5</f>
        <v>0.0895572282649128</v>
      </c>
      <c r="D33" s="28">
        <f>SUM(D20+D12)/D5</f>
        <v>0.1081319059547739</v>
      </c>
      <c r="E33" s="28">
        <f>SUM(E20+E12)/E5</f>
        <v>0.10789926864659695</v>
      </c>
      <c r="F33" s="29">
        <v>0.10653286315642435</v>
      </c>
      <c r="G33" s="29">
        <v>0.10492023022441042</v>
      </c>
      <c r="H33" s="28">
        <f>SUM(H20+H12)/H5</f>
        <v>0.12323519268782505</v>
      </c>
      <c r="I33" s="28">
        <f>SUM(I20+I12)/I5</f>
        <v>0.11866289167542748</v>
      </c>
      <c r="J33" s="28">
        <f>SUM(J20+J12)/J5</f>
        <v>0.11811636801671414</v>
      </c>
      <c r="K33" s="28">
        <f>SUM(K20+K12)/K5</f>
        <v>0.0754958509871967</v>
      </c>
      <c r="L33" s="28">
        <f>SUM(L20+L12)/L5</f>
        <v>0.07022009963311875</v>
      </c>
      <c r="M33" s="28">
        <f>SUM(M20+M12)/M5</f>
        <v>0.06519303449619993</v>
      </c>
      <c r="N33" s="28">
        <f>SUM(N20+N12)/N5</f>
        <v>0.06040448038196001</v>
      </c>
      <c r="O33" s="28">
        <f>SUM(O20+O12)/O5</f>
        <v>0.05584476100604348</v>
      </c>
      <c r="P33" s="28">
        <f>SUM(P20+P12)/P5</f>
        <v>0.03923493816310004</v>
      </c>
      <c r="Q33" s="28">
        <f>SUM(Q20+Q12)/Q5</f>
        <v>0.018087310192087327</v>
      </c>
      <c r="R33" s="28">
        <f>SUM(R20+R12)/R5</f>
        <v>0.016897896740476658</v>
      </c>
      <c r="S33" s="28">
        <f>SUM(S20+S12)/S5</f>
        <v>0.015763588582799394</v>
      </c>
      <c r="T33" s="28">
        <f>SUM(T20+T12)/T5</f>
        <v>0.014682149392295417</v>
      </c>
      <c r="U33" s="28">
        <f>SUM(U20+U12)/U5</f>
        <v>0.013651427438653257</v>
      </c>
      <c r="V33" s="28">
        <f>SUM(V20+V12)/V5</f>
        <v>0.012669352524657179</v>
      </c>
      <c r="W33" s="28">
        <f>SUM(W20+W12)/W5</f>
        <v>0.01173393303050371</v>
      </c>
      <c r="X33" s="28">
        <f>SUM(X20+X12)/X5</f>
        <v>0.010843253062084396</v>
      </c>
      <c r="Y33" s="28">
        <f>SUM(Y20+Y12)/Y5</f>
        <v>0.009995469699656813</v>
      </c>
      <c r="Z33" s="28">
        <f>SUM(Z20+Z12)/Z5</f>
        <v>0.009188810343447077</v>
      </c>
      <c r="AA33" s="28">
        <f>SUM(AA20+AA12)/AA5</f>
        <v>0.008421673897842758</v>
      </c>
      <c r="AB33" s="28">
        <f>SUM(AB20+AB12)/AB5</f>
        <v>0.003735224875403961</v>
      </c>
    </row>
    <row r="34" spans="1:28" ht="12.75">
      <c r="A34" s="11" t="s">
        <v>8</v>
      </c>
      <c r="B34" s="19" t="s">
        <v>41</v>
      </c>
      <c r="C34" s="30" t="s">
        <v>42</v>
      </c>
      <c r="D34" s="30" t="s">
        <v>42</v>
      </c>
      <c r="E34" s="30" t="s">
        <v>42</v>
      </c>
      <c r="F34" s="31">
        <v>0.0845167385672977</v>
      </c>
      <c r="G34" s="29">
        <v>0.0845167385672977</v>
      </c>
      <c r="H34" s="28">
        <f>((F6+F8-F9-F22)/F5+(E6+E8-E9-E22)/E5+(D6+D8-D9-D22)/D5)/3</f>
        <v>0.07029718109259919</v>
      </c>
      <c r="I34" s="28">
        <f>((H6+H8-H9-H22)/H5+(F6+F8-F9-F22)/F5+(E6+E8-E9-E22)/E5)/3</f>
        <v>0.060063334936659774</v>
      </c>
      <c r="J34" s="28">
        <f>((I6+I8-I9-I22)/I5+(H6+H8-H9-H22)/H5+(F6+F8-F9-F22)/F5)/3</f>
        <v>0.10058321173489464</v>
      </c>
      <c r="K34" s="28">
        <f>((J6+J8-J9-J22)/J5+(I6+I8-I9-I22)/I5+(H6+H8-H9-H22)/H5)/3</f>
        <v>0.13697582864962107</v>
      </c>
      <c r="L34" s="28">
        <f>((K6+K8-K9-K22)/K5+(J6+J8-J9-J22)/J5+(I6+I8-I9-I22)/I5)/3</f>
        <v>0.17428093638781536</v>
      </c>
      <c r="M34" s="28">
        <f>((L6+L8-L9-L22)/L5+(K6+K8-K9-K22)/K5+(J6+J8-J9-J22)/J5)/3</f>
        <v>0.15611163096266212</v>
      </c>
      <c r="N34" s="28">
        <f>((M6+M8-M9-M22)/M5+(L6+L8-L9-L22)/L5+(K6+K8-K9-K22)/K5)/3</f>
        <v>0.15688421819241508</v>
      </c>
      <c r="O34" s="28">
        <f>((N6+N8-N9-N22)/N5+(M6+M8-M9-M22)/M5+(L6+L8-L9-L22)/L5)/3</f>
        <v>0.15765614012229703</v>
      </c>
      <c r="P34" s="28">
        <f>((O6+O8-O9-O22)/O5+(N6+N8-N9-N22)/N5+(M6+M8-M9-M22)/M5)/3</f>
        <v>0.15842739724832192</v>
      </c>
      <c r="Q34" s="28">
        <f>((P6+P8-P9-P22)/P5+(O6+O8-O9-O22)/O5+(N6+N8-N9-N22)/N5)/3</f>
        <v>0.15919799006627527</v>
      </c>
      <c r="R34" s="28">
        <f>((Q6+Q8-Q9-Q22)/Q5+(P6+P8-P9-P22)/P5+(O6+O8-O9-O22)/O5)/3</f>
        <v>0.15996791907171376</v>
      </c>
      <c r="S34" s="28">
        <f>((R6+R8-R9-R22)/R5+(Q6+Q8-Q9-Q22)/Q5+(P6+P8-P9-P22)/P5)/3</f>
        <v>0.16073718475996548</v>
      </c>
      <c r="T34" s="28">
        <f>((S6+S8-S9-S22)/S5+(R6+R8-R9-R22)/R5+(Q6+Q8-Q9-Q22)/Q5)/3</f>
        <v>0.16150578762612933</v>
      </c>
      <c r="U34" s="28">
        <f>((T6+T8-T9-T22)/T5+(S6+S8-S9-S22)/S5+(R6+R8-R9-R22)/R5)/3</f>
        <v>0.16227372816507504</v>
      </c>
      <c r="V34" s="28">
        <f>((U6+U8-U9-U22)/U5+(T6+T8-T9-T22)/T5+(S6+S8-S9-S22)/S5)/3</f>
        <v>0.163041006871443</v>
      </c>
      <c r="W34" s="28">
        <f>((V6+V8-V9-V22)/V5+(U6+U8-U9-U22)/U5+(T6+T8-T9-T22)/T5)/3</f>
        <v>0.1638076242396439</v>
      </c>
      <c r="X34" s="28">
        <f>((W6+W8-W9-W22)/W5+(V6+V8-V9-V22)/V5+(U6+U8-U9-U22)/U5)/3</f>
        <v>0.16457358076385917</v>
      </c>
      <c r="Y34" s="28">
        <f>((X6+X8-X9-X22)/X5+(W6+W8-W9-W22)/W5+(V6+V8-V9-V22)/V5)/3</f>
        <v>0.16533887693804</v>
      </c>
      <c r="Z34" s="28">
        <f>((Y6+Y8-Y9-Y22)/Y5+(X6+X8-X9-X22)/X5+(W6+W8-W9-W22)/W5)/3</f>
        <v>0.1661035132559078</v>
      </c>
      <c r="AA34" s="28">
        <f>((Z6+Z8-Z9-Z22)/Z5+(Y6+Y8-Y9-Y22)/Y5+(X6+X8-X9-X22)/X5)/3</f>
        <v>0.1668674902109535</v>
      </c>
      <c r="AB34" s="28">
        <f>((AA6+AA8-AA9-AA22)/AA5+(Z6+Z8-Z9-Z22)/Z5+(Y6+Y8-Y9-Y22)/Y5)/3</f>
        <v>0.16763080829643798</v>
      </c>
    </row>
    <row r="35" spans="1:28" ht="12.75">
      <c r="A35" s="11">
        <v>16</v>
      </c>
      <c r="B35" s="19" t="s">
        <v>43</v>
      </c>
      <c r="C35" s="32" t="s">
        <v>42</v>
      </c>
      <c r="D35" s="32" t="s">
        <v>42</v>
      </c>
      <c r="E35" s="32" t="s">
        <v>42</v>
      </c>
      <c r="F35" s="33"/>
      <c r="G35" s="33" t="s">
        <v>44</v>
      </c>
      <c r="H35" s="34" t="str">
        <f>IF(H36&lt;=H34,"TAK","NIE")</f>
        <v>NIE</v>
      </c>
      <c r="I35" s="34" t="str">
        <f>IF(I36&lt;=I34,"TAK","NIE")</f>
        <v>NIE</v>
      </c>
      <c r="J35" s="34" t="str">
        <f>IF(J36&lt;=J34,"TAK","NIE")</f>
        <v>TAK</v>
      </c>
      <c r="K35" s="34" t="str">
        <f>IF(K36&lt;=K34,"TAK","NIE")</f>
        <v>TAK</v>
      </c>
      <c r="L35" s="34" t="str">
        <f>IF(L36&lt;=L34,"TAK","NIE")</f>
        <v>TAK</v>
      </c>
      <c r="M35" s="34" t="str">
        <f>IF(M36&lt;=M34,"TAK","NIE")</f>
        <v>TAK</v>
      </c>
      <c r="N35" s="34" t="str">
        <f>IF(N36&lt;=N34,"TAK","NIE")</f>
        <v>TAK</v>
      </c>
      <c r="O35" s="34" t="str">
        <f>IF(O36&lt;=O34,"TAK","NIE")</f>
        <v>TAK</v>
      </c>
      <c r="P35" s="34" t="str">
        <f>IF(P36&lt;=P34,"TAK","NIE")</f>
        <v>TAK</v>
      </c>
      <c r="Q35" s="34" t="str">
        <f>IF(Q36&lt;=Q34,"TAK","NIE")</f>
        <v>TAK</v>
      </c>
      <c r="R35" s="34" t="str">
        <f>IF(R36&lt;=R34,"TAK","NIE")</f>
        <v>TAK</v>
      </c>
      <c r="S35" s="34" t="str">
        <f>IF(S36&lt;=S34,"TAK","NIE")</f>
        <v>TAK</v>
      </c>
      <c r="T35" s="34" t="str">
        <f>IF(T36&lt;=T34,"TAK","NIE")</f>
        <v>TAK</v>
      </c>
      <c r="U35" s="34" t="str">
        <f>IF(U36&lt;=U34,"TAK","NIE")</f>
        <v>TAK</v>
      </c>
      <c r="V35" s="34" t="str">
        <f>IF(V36&lt;=V34,"TAK","NIE")</f>
        <v>TAK</v>
      </c>
      <c r="W35" s="34" t="str">
        <f>IF(W36&lt;=W34,"TAK","NIE")</f>
        <v>TAK</v>
      </c>
      <c r="X35" s="34" t="str">
        <f>IF(X36&lt;=X34,"TAK","NIE")</f>
        <v>TAK</v>
      </c>
      <c r="Y35" s="34" t="str">
        <f>IF(Y36&lt;=Y34,"TAK","NIE")</f>
        <v>TAK</v>
      </c>
      <c r="Z35" s="34" t="str">
        <f>IF(Z36&lt;=Z34,"TAK","NIE")</f>
        <v>TAK</v>
      </c>
      <c r="AA35" s="34" t="str">
        <f>IF(AA36&lt;=AA34,"TAK","NIE")</f>
        <v>TAK</v>
      </c>
      <c r="AB35" s="34" t="str">
        <f>IF(AB36&lt;=AB34,"TAK","NIE")</f>
        <v>TAK</v>
      </c>
    </row>
    <row r="36" spans="1:28" ht="12.75">
      <c r="A36" s="11">
        <v>17</v>
      </c>
      <c r="B36" s="35" t="s">
        <v>45</v>
      </c>
      <c r="C36" s="36">
        <f>SUM(C20-C31+C12)/C5</f>
        <v>0.06405910593329357</v>
      </c>
      <c r="D36" s="36">
        <f>SUM(D20-D31+D12)/D5</f>
        <v>0.09000786764321199</v>
      </c>
      <c r="E36" s="36">
        <f>SUM(E20-E31+E12)/E5</f>
        <v>0.086062524227661</v>
      </c>
      <c r="F36" s="37">
        <v>0.08403320451050396</v>
      </c>
      <c r="G36" s="37">
        <v>0.08276115841166476</v>
      </c>
      <c r="H36" s="36">
        <f>SUM(H20-H50-H31+H12)/H5</f>
        <v>0.1051869566527987</v>
      </c>
      <c r="I36" s="36">
        <f>SUM(I20-I50-I31+I12)/I5</f>
        <v>0.10063713064439277</v>
      </c>
      <c r="J36" s="36">
        <f>SUM(J20-J50-J31+J12)/J5</f>
        <v>0.09934968199411429</v>
      </c>
      <c r="K36" s="36">
        <f>SUM(K20-K50-K31+K12)/K5</f>
        <v>0.060643025434501244</v>
      </c>
      <c r="L36" s="36">
        <f>SUM(L20-L50-L31+L12)/L5</f>
        <v>0.0558130824879704</v>
      </c>
      <c r="M36" s="36">
        <f>SUM(M20-M50-M31+M12)/M5</f>
        <v>0.05121844549073545</v>
      </c>
      <c r="N36" s="36">
        <f>SUM(N20-N50-N31+N12)/N5</f>
        <v>0.04684934081539965</v>
      </c>
      <c r="O36" s="36">
        <f>SUM(O20-O50-O31+O12)/O5</f>
        <v>0.04269644191933025</v>
      </c>
      <c r="P36" s="36">
        <f>SUM(P20-P50-P31+P12)/P5</f>
        <v>0.0325437682112259</v>
      </c>
      <c r="Q36" s="36">
        <f>SUM(Q20-Q50-Q31+Q12)/Q5</f>
        <v>0.015507380473394816</v>
      </c>
      <c r="R36" s="36">
        <f>SUM(R20-R50-R31+R12)/R5</f>
        <v>0.014395404506924675</v>
      </c>
      <c r="S36" s="36">
        <f>SUM(S20-S50-S31+S12)/S5</f>
        <v>0.01333620964185584</v>
      </c>
      <c r="T36" s="36">
        <f>SUM(T20-T50-T31+T12)/T5</f>
        <v>0.01232762930554238</v>
      </c>
      <c r="U36" s="36">
        <f>SUM(U20-U50-U31+U12)/U5</f>
        <v>0.011367579428427723</v>
      </c>
      <c r="V36" s="36">
        <f>SUM(V20-V50-V31+V12)/V5</f>
        <v>0.010454055443511065</v>
      </c>
      <c r="W36" s="36">
        <f>SUM(W20-W50-W31+W12)/W5</f>
        <v>0.009585129391598207</v>
      </c>
      <c r="X36" s="36">
        <f>SUM(X20-X50-X31+X12)/X5</f>
        <v>0.008758947128690131</v>
      </c>
      <c r="Y36" s="36">
        <f>SUM(Y20-Y50-Y31+Y12)/Y5</f>
        <v>0.007973725631986256</v>
      </c>
      <c r="Z36" s="36">
        <f>SUM(Z20-Z50-Z31+Z12)/Z5</f>
        <v>0.007227750401098782</v>
      </c>
      <c r="AA36" s="36">
        <f>SUM(AA20-AA50-AA31+AA12)/AA5</f>
        <v>0.006519053622612379</v>
      </c>
      <c r="AB36" s="36">
        <f>SUM(AB20-AB50-AB31+AB12)/AB5</f>
        <v>0.0025608900191435436</v>
      </c>
    </row>
    <row r="37" spans="1:28" ht="12.75">
      <c r="A37" s="11">
        <v>18</v>
      </c>
      <c r="B37" s="38" t="s">
        <v>46</v>
      </c>
      <c r="C37" s="28">
        <f>SUM(C29-C30)/C5</f>
        <v>0.3408796292869238</v>
      </c>
      <c r="D37" s="28">
        <f>SUM(D29-D30)/D5</f>
        <v>0.2846602655010411</v>
      </c>
      <c r="E37" s="28">
        <f>SUM(E29-E30)/E5</f>
        <v>0.37593907968241225</v>
      </c>
      <c r="F37" s="29">
        <v>0.36013352475191646</v>
      </c>
      <c r="G37" s="29">
        <v>0.35468203152503824</v>
      </c>
      <c r="H37" s="28">
        <f>SUM(H29-H30)/H5</f>
        <v>0.390815027588974</v>
      </c>
      <c r="I37" s="28">
        <f>SUM(I29-I30)/I5</f>
        <v>0.39555331341593425</v>
      </c>
      <c r="J37" s="28">
        <f>SUM(J29-J30)/J5</f>
        <v>0.340178414625934</v>
      </c>
      <c r="K37" s="28">
        <f>SUM(K29-K30)/K5</f>
        <v>0.2931062495601596</v>
      </c>
      <c r="L37" s="28">
        <f>SUM(L29-L30)/L5</f>
        <v>0.24855334798861173</v>
      </c>
      <c r="M37" s="28">
        <f>SUM(M29-M30)/M5</f>
        <v>0.20641089140342314</v>
      </c>
      <c r="N37" s="28">
        <f>SUM(N29-N30)/N5</f>
        <v>0.16657432373801256</v>
      </c>
      <c r="O37" s="28">
        <f>SUM(O29-O30)/O5</f>
        <v>0.12894311399377975</v>
      </c>
      <c r="P37" s="28">
        <f>SUM(P29-P30)/P5</f>
        <v>0.10041078227364988</v>
      </c>
      <c r="Q37" s="28">
        <f>SUM(Q29-Q30)/Q5</f>
        <v>0.08886814459499548</v>
      </c>
      <c r="R37" s="28">
        <f>SUM(R29-R30)/R5</f>
        <v>0.07792795258339827</v>
      </c>
      <c r="S37" s="28">
        <f>SUM(S29-S30)/S5</f>
        <v>0.06756444135197456</v>
      </c>
      <c r="T37" s="28">
        <f>SUM(T29-T30)/T5</f>
        <v>0.057752849864393115</v>
      </c>
      <c r="U37" s="28">
        <f>SUM(U29-U30)/U5</f>
        <v>0.04846938388864581</v>
      </c>
      <c r="V37" s="28">
        <f>SUM(V29-V30)/V5</f>
        <v>0.03969118027019819</v>
      </c>
      <c r="W37" s="28">
        <f>SUM(W29-W30)/W5</f>
        <v>0.03139627247869787</v>
      </c>
      <c r="X37" s="28">
        <f>SUM(X29-X30)/X5</f>
        <v>0.023563557383980378</v>
      </c>
      <c r="Y37" s="28">
        <f>SUM(Y29-Y30)/Y5</f>
        <v>0.016172763218621558</v>
      </c>
      <c r="Z37" s="28">
        <f>SUM(Z29-Z30)/Z5</f>
        <v>0.00920441868574423</v>
      </c>
      <c r="AA37" s="28">
        <f>SUM(AA29-AA30)/AA5</f>
        <v>0.002640135878752954</v>
      </c>
      <c r="AB37" s="28">
        <f>SUM(AB29-AB30)/AB5</f>
        <v>1.0904911881689768E-17</v>
      </c>
    </row>
    <row r="38" spans="1:28" ht="12.75">
      <c r="A38" s="11">
        <v>19</v>
      </c>
      <c r="B38" s="12" t="s">
        <v>47</v>
      </c>
      <c r="C38" s="39">
        <f>SUM(C9,C22)</f>
        <v>46152445</v>
      </c>
      <c r="D38" s="39">
        <f>SUM(D9,D22)</f>
        <v>51664524</v>
      </c>
      <c r="E38" s="39">
        <f>SUM(E9,E22)</f>
        <v>54479628.2</v>
      </c>
      <c r="F38" s="40">
        <v>58428945.85</v>
      </c>
      <c r="G38" s="40">
        <v>59777797.15</v>
      </c>
      <c r="H38" s="39">
        <f>SUM(H9,H22)</f>
        <v>58793501</v>
      </c>
      <c r="I38" s="39">
        <f>SUM(I9,I22)</f>
        <v>51033300</v>
      </c>
      <c r="J38" s="39">
        <f>SUM(J9,J22)</f>
        <v>52564299</v>
      </c>
      <c r="K38" s="39">
        <f>SUM(K9,K22)</f>
        <v>54141227.97</v>
      </c>
      <c r="L38" s="39">
        <f>SUM(L9,L22)</f>
        <v>55765464.8091</v>
      </c>
      <c r="M38" s="39">
        <f>SUM(M9,M22)</f>
        <v>57438428.753373004</v>
      </c>
      <c r="N38" s="39">
        <f>SUM(N9,N22)</f>
        <v>59161581.615974195</v>
      </c>
      <c r="O38" s="39">
        <f>SUM(O9,O22)</f>
        <v>60936429.06445342</v>
      </c>
      <c r="P38" s="39">
        <f>SUM(P9,P22)</f>
        <v>62764521.936387025</v>
      </c>
      <c r="Q38" s="39">
        <f>SUM(Q9,Q22)</f>
        <v>64647457.59447864</v>
      </c>
      <c r="R38" s="39">
        <f>SUM(R9,R22)</f>
        <v>66586881.322312996</v>
      </c>
      <c r="S38" s="39">
        <f>SUM(S9,S22)</f>
        <v>68584487.76198238</v>
      </c>
      <c r="T38" s="39">
        <f>SUM(T9,T22)</f>
        <v>70642022.39484185</v>
      </c>
      <c r="U38" s="39">
        <f>SUM(U9,U22)</f>
        <v>72761283.0666871</v>
      </c>
      <c r="V38" s="39">
        <f>SUM(V9,V22)</f>
        <v>74944121.55868772</v>
      </c>
      <c r="W38" s="39">
        <f>SUM(W9,W22)</f>
        <v>77192445.20544834</v>
      </c>
      <c r="X38" s="39">
        <f>SUM(X9,X22)</f>
        <v>79508218.5616118</v>
      </c>
      <c r="Y38" s="39">
        <f>SUM(Y9,Y22)</f>
        <v>81893465.11846015</v>
      </c>
      <c r="Z38" s="39">
        <f>SUM(Z9,Z22)</f>
        <v>84350269.07201396</v>
      </c>
      <c r="AA38" s="39">
        <f>SUM(AA9,AA22)</f>
        <v>86880777.14417438</v>
      </c>
      <c r="AB38" s="39">
        <f>SUM(AB9,AB22)</f>
        <v>89487200.45849961</v>
      </c>
    </row>
    <row r="39" spans="1:28" ht="12.75">
      <c r="A39" s="11">
        <v>20</v>
      </c>
      <c r="B39" s="41" t="s">
        <v>48</v>
      </c>
      <c r="C39" s="39">
        <f>SUM(C25,C38)</f>
        <v>64898002</v>
      </c>
      <c r="D39" s="39">
        <f>SUM(D25,D38)</f>
        <v>71336733</v>
      </c>
      <c r="E39" s="39">
        <f>SUM(E25,E38)</f>
        <v>82713065.63</v>
      </c>
      <c r="F39" s="40">
        <v>96141121.85</v>
      </c>
      <c r="G39" s="40">
        <v>97489973.15</v>
      </c>
      <c r="H39" s="39">
        <f>SUM(H25,H38)</f>
        <v>83159072</v>
      </c>
      <c r="I39" s="39">
        <f>SUM(I25,I38)</f>
        <v>58385828</v>
      </c>
      <c r="J39" s="39">
        <f>SUM(J25,J38)</f>
        <v>55064299</v>
      </c>
      <c r="K39" s="39">
        <f>SUM(K25,K38)</f>
        <v>56641227.97</v>
      </c>
      <c r="L39" s="39">
        <f>SUM(L25,L38)</f>
        <v>58340464.8091</v>
      </c>
      <c r="M39" s="39">
        <f>SUM(M25,M38)</f>
        <v>60090678.753373004</v>
      </c>
      <c r="N39" s="39">
        <f>SUM(N25,N38)</f>
        <v>61893399.115974195</v>
      </c>
      <c r="O39" s="39">
        <f>SUM(O25,O38)</f>
        <v>63750201.08945342</v>
      </c>
      <c r="P39" s="39">
        <f>SUM(P25,P38)</f>
        <v>65662707.122137025</v>
      </c>
      <c r="Q39" s="39">
        <f>SUM(Q25,Q38)</f>
        <v>67632588.33580114</v>
      </c>
      <c r="R39" s="39">
        <f>SUM(R25,R38)</f>
        <v>69661565.98587517</v>
      </c>
      <c r="S39" s="39">
        <f>SUM(S25,S38)</f>
        <v>71751412.96545142</v>
      </c>
      <c r="T39" s="39">
        <f>SUM(T25,T38)</f>
        <v>73903955.35441495</v>
      </c>
      <c r="U39" s="39">
        <f>SUM(U25,U38)</f>
        <v>76121074.01504742</v>
      </c>
      <c r="V39" s="39">
        <f>SUM(V25,V38)</f>
        <v>78404706.23549883</v>
      </c>
      <c r="W39" s="39">
        <f>SUM(W25,W38)</f>
        <v>80756847.42256379</v>
      </c>
      <c r="X39" s="39">
        <f>SUM(X25,X38)</f>
        <v>83179552.84524071</v>
      </c>
      <c r="Y39" s="39">
        <f>SUM(Y25,Y38)</f>
        <v>85674939.43059793</v>
      </c>
      <c r="Z39" s="39">
        <f>SUM(Z25,Z38)</f>
        <v>88245187.61351587</v>
      </c>
      <c r="AA39" s="39">
        <f>SUM(AA25,AA38)</f>
        <v>90892543.24192135</v>
      </c>
      <c r="AB39" s="39">
        <f>SUM(AB25,AB38)</f>
        <v>93619319.53917898</v>
      </c>
    </row>
    <row r="40" spans="1:28" ht="12.75">
      <c r="A40" s="42">
        <v>21</v>
      </c>
      <c r="B40" s="43" t="s">
        <v>49</v>
      </c>
      <c r="C40" s="39">
        <f>SUM(C5-C39)</f>
        <v>-8295089</v>
      </c>
      <c r="D40" s="39">
        <f>SUM(D5-D39)</f>
        <v>-5698271</v>
      </c>
      <c r="E40" s="39">
        <f>SUM(E5-E39)</f>
        <v>-6646369.599999994</v>
      </c>
      <c r="F40" s="40">
        <v>-8382906</v>
      </c>
      <c r="G40" s="40">
        <v>-8382906</v>
      </c>
      <c r="H40" s="39">
        <f>SUM(H5-H39)</f>
        <v>-3042827</v>
      </c>
      <c r="I40" s="39">
        <f>SUM(I5-I39)</f>
        <v>9041852.191</v>
      </c>
      <c r="J40" s="39">
        <f>SUM(J5-J39)</f>
        <v>9701278.072921</v>
      </c>
      <c r="K40" s="39">
        <f>SUM(K5-K39)</f>
        <v>10128441.308181554</v>
      </c>
      <c r="L40" s="39">
        <f>SUM(L5-L39)</f>
        <v>10495314.312185168</v>
      </c>
      <c r="M40" s="39">
        <f>SUM(M5-M39)</f>
        <v>10875147.119016416</v>
      </c>
      <c r="N40" s="39">
        <f>SUM(N5-N39)</f>
        <v>11268389.084754013</v>
      </c>
      <c r="O40" s="39">
        <f>SUM(O5-O39)</f>
        <v>11675504.923580937</v>
      </c>
      <c r="P40" s="39">
        <f>SUM(P5-P39)</f>
        <v>12096975.22672747</v>
      </c>
      <c r="Q40" s="39">
        <f>SUM(Q5-Q39)</f>
        <v>12533296.99878703</v>
      </c>
      <c r="R40" s="39">
        <f>SUM(R5-R39)</f>
        <v>12984984.211981356</v>
      </c>
      <c r="S40" s="39">
        <f>SUM(S5-S39)</f>
        <v>13452568.378971681</v>
      </c>
      <c r="T40" s="39">
        <f>SUM(T5-T39)</f>
        <v>13936599.14483127</v>
      </c>
      <c r="U40" s="39">
        <f>SUM(U5-U39)</f>
        <v>14437644.898815826</v>
      </c>
      <c r="V40" s="39">
        <f>SUM(V5-V39)</f>
        <v>14956293.406588763</v>
      </c>
      <c r="W40" s="39">
        <f>SUM(W5-W39)</f>
        <v>15493152.463579953</v>
      </c>
      <c r="X40" s="39">
        <f>SUM(X5-X39)</f>
        <v>16048850.570179462</v>
      </c>
      <c r="Y40" s="39">
        <f>SUM(Y5-Y39)</f>
        <v>16624037.62949042</v>
      </c>
      <c r="Z40" s="39">
        <f>SUM(Z5-Z39)</f>
        <v>17219385.668389097</v>
      </c>
      <c r="AA40" s="39">
        <f>SUM(AA5-AA39)</f>
        <v>17835589.58266513</v>
      </c>
      <c r="AB40" s="39">
        <f>SUM(AB5-AB39)</f>
        <v>18473367.907040432</v>
      </c>
    </row>
    <row r="41" spans="1:28" ht="12.75">
      <c r="A41" s="42">
        <v>22</v>
      </c>
      <c r="B41" s="43" t="s">
        <v>50</v>
      </c>
      <c r="C41" s="39">
        <f>SUM(C27,C16)</f>
        <v>16619580</v>
      </c>
      <c r="D41" s="39">
        <f>SUM(D27,D16)</f>
        <v>14873160</v>
      </c>
      <c r="E41" s="39">
        <f>SUM(E27,E16)</f>
        <v>18926628</v>
      </c>
      <c r="F41" s="40">
        <v>15084040</v>
      </c>
      <c r="G41" s="40">
        <v>15084040</v>
      </c>
      <c r="H41" s="39">
        <f>SUM(H27,H16)</f>
        <v>10323967.89</v>
      </c>
      <c r="I41" s="39">
        <f>SUM(I27,I16)</f>
        <v>750000</v>
      </c>
      <c r="J41" s="39">
        <f>SUM(J27,J16)</f>
        <v>9791852.191</v>
      </c>
      <c r="K41" s="39">
        <f>SUM(K27,K16)</f>
        <v>10451278.072921</v>
      </c>
      <c r="L41" s="39">
        <f>SUM(L27,L16)</f>
        <v>10878441.308181554</v>
      </c>
      <c r="M41" s="39">
        <f>SUM(M27,M16)</f>
        <v>11245314.312185168</v>
      </c>
      <c r="N41" s="39">
        <f>SUM(N27,N16)</f>
        <v>11625147.119016416</v>
      </c>
      <c r="O41" s="39">
        <f>SUM(O27,O16)</f>
        <v>12018389.084754013</v>
      </c>
      <c r="P41" s="39">
        <f>SUM(P27,P16)</f>
        <v>12425504.923580937</v>
      </c>
      <c r="Q41" s="39">
        <f>SUM(Q27,Q16)</f>
        <v>12846975.22672747</v>
      </c>
      <c r="R41" s="39">
        <f>SUM(R27,R16)</f>
        <v>13283296.99878703</v>
      </c>
      <c r="S41" s="39">
        <f>SUM(S27,S16)</f>
        <v>13734984.211981356</v>
      </c>
      <c r="T41" s="39">
        <f>SUM(T27,T16)</f>
        <v>14202568.378971681</v>
      </c>
      <c r="U41" s="39">
        <f>SUM(U27,U16)</f>
        <v>14686599.14483127</v>
      </c>
      <c r="V41" s="39">
        <f>SUM(V27,V16)</f>
        <v>15187644.898815826</v>
      </c>
      <c r="W41" s="39">
        <f>SUM(W27,W16)</f>
        <v>15706293.406588763</v>
      </c>
      <c r="X41" s="39">
        <f>SUM(X27,X16)</f>
        <v>16243152.463579953</v>
      </c>
      <c r="Y41" s="39">
        <f>SUM(Y27,Y16)</f>
        <v>16798850.570179462</v>
      </c>
      <c r="Z41" s="39">
        <f>SUM(Z27,Z16)</f>
        <v>17374037.62949042</v>
      </c>
      <c r="AA41" s="39">
        <f>SUM(AA27,AA16)</f>
        <v>17969385.668389097</v>
      </c>
      <c r="AB41" s="39">
        <f>SUM(AB27,AB16)</f>
        <v>18585589.58266513</v>
      </c>
    </row>
    <row r="42" spans="1:28" ht="12.75">
      <c r="A42" s="42">
        <v>23</v>
      </c>
      <c r="B42" s="43" t="s">
        <v>51</v>
      </c>
      <c r="C42" s="44">
        <f>SUM(C21,C23)</f>
        <v>4216859</v>
      </c>
      <c r="D42" s="44">
        <f>SUM(D21,D23)</f>
        <v>5932009</v>
      </c>
      <c r="E42" s="44">
        <f>SUM(E21,E23)</f>
        <v>6476116.28</v>
      </c>
      <c r="F42" s="45">
        <v>6701134</v>
      </c>
      <c r="G42" s="45">
        <v>6701134</v>
      </c>
      <c r="H42" s="44">
        <f>SUM(H21,H23)</f>
        <v>7281140.890000001</v>
      </c>
      <c r="I42" s="44">
        <f>SUM(I21,I23)</f>
        <v>5854825.4345</v>
      </c>
      <c r="J42" s="44">
        <f>SUM(J21,J23)</f>
        <v>5854826.2345</v>
      </c>
      <c r="K42" s="44">
        <f>SUM(K21,K23)</f>
        <v>3452962.2345</v>
      </c>
      <c r="L42" s="44">
        <f>SUM(L21,L23)</f>
        <v>3452962.2345</v>
      </c>
      <c r="M42" s="44">
        <f>SUM(M21,M23)</f>
        <v>3452962.2345</v>
      </c>
      <c r="N42" s="44">
        <f>SUM(N21,N23)</f>
        <v>3452962.2345</v>
      </c>
      <c r="O42" s="44">
        <f>SUM(O21,O23)</f>
        <v>3452971.2345</v>
      </c>
      <c r="P42" s="44">
        <f>SUM(P21,P23)</f>
        <v>2438018.1245</v>
      </c>
      <c r="Q42" s="44">
        <f>SUM(Q21,Q23)</f>
        <v>890539.3945</v>
      </c>
      <c r="R42" s="44">
        <f>SUM(R21,R23)</f>
        <v>890539.3945</v>
      </c>
      <c r="S42" s="44">
        <f>SUM(S21,S23)</f>
        <v>890539.3945</v>
      </c>
      <c r="T42" s="44">
        <f>SUM(T21,T23)</f>
        <v>890539.3945</v>
      </c>
      <c r="U42" s="44">
        <f>SUM(U21,U23)</f>
        <v>890539.3945</v>
      </c>
      <c r="V42" s="44">
        <f>SUM(V21,V23)</f>
        <v>890539.3945</v>
      </c>
      <c r="W42" s="44">
        <f>SUM(W21,W23)</f>
        <v>890539.3945</v>
      </c>
      <c r="X42" s="44">
        <f>SUM(X21,X23)</f>
        <v>890539.3945</v>
      </c>
      <c r="Y42" s="44">
        <f>SUM(Y21,Y23)</f>
        <v>890539.3945</v>
      </c>
      <c r="Z42" s="44">
        <f>SUM(Z21,Z23)</f>
        <v>890539.3945</v>
      </c>
      <c r="AA42" s="44">
        <f>SUM(AA21,AA23)</f>
        <v>890551.3945</v>
      </c>
      <c r="AB42" s="44">
        <f>SUM(AB21,AB23)</f>
        <v>418691.39450000005</v>
      </c>
    </row>
    <row r="43" spans="2:7" ht="12.75">
      <c r="B43" t="s">
        <v>52</v>
      </c>
      <c r="F43" s="5"/>
      <c r="G43" s="5"/>
    </row>
    <row r="44" spans="6:27" ht="12.75">
      <c r="F44" s="5"/>
      <c r="G44" s="5"/>
      <c r="Y44" s="46"/>
      <c r="Z44" s="46"/>
      <c r="AA44" s="46"/>
    </row>
    <row r="45" spans="6:27" ht="12.75">
      <c r="F45" s="5"/>
      <c r="G45" s="5"/>
      <c r="Y45" s="46"/>
      <c r="Z45" s="46"/>
      <c r="AA45" s="46"/>
    </row>
    <row r="46" spans="1:28" ht="12.75">
      <c r="A46" s="47"/>
      <c r="B46" s="47"/>
      <c r="C46" s="47"/>
      <c r="D46" s="47"/>
      <c r="E46" s="47"/>
      <c r="F46" s="47">
        <v>2011</v>
      </c>
      <c r="G46" s="47"/>
      <c r="H46" s="47">
        <v>2012</v>
      </c>
      <c r="I46" s="47">
        <v>2013</v>
      </c>
      <c r="J46" s="47">
        <v>2014</v>
      </c>
      <c r="K46" s="47">
        <v>2015</v>
      </c>
      <c r="L46" s="47">
        <v>2016</v>
      </c>
      <c r="M46" s="47">
        <v>2017</v>
      </c>
      <c r="N46" s="47">
        <v>2018</v>
      </c>
      <c r="O46" s="47">
        <v>2019</v>
      </c>
      <c r="P46" s="47">
        <v>2020</v>
      </c>
      <c r="Q46" s="47">
        <v>2021</v>
      </c>
      <c r="R46" s="47">
        <v>2022</v>
      </c>
      <c r="S46" s="47">
        <v>2023</v>
      </c>
      <c r="T46" s="47">
        <v>2024</v>
      </c>
      <c r="U46" s="47">
        <v>2025</v>
      </c>
      <c r="V46" s="47">
        <v>2026</v>
      </c>
      <c r="W46" s="47">
        <v>2027</v>
      </c>
      <c r="X46" s="47">
        <v>2028</v>
      </c>
      <c r="Y46" s="47">
        <v>2029</v>
      </c>
      <c r="Z46" s="47">
        <v>2030</v>
      </c>
      <c r="AA46" s="47">
        <v>2031</v>
      </c>
      <c r="AB46" s="47">
        <v>2032</v>
      </c>
    </row>
    <row r="47" spans="1:28" ht="12.75">
      <c r="A47" s="47"/>
      <c r="B47" s="47"/>
      <c r="C47" s="47"/>
      <c r="D47" s="47"/>
      <c r="E47" s="47"/>
      <c r="F47" s="48"/>
      <c r="G47" s="48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</row>
    <row r="48" spans="1:28" ht="12.75">
      <c r="A48" s="48"/>
      <c r="B48" s="49" t="s">
        <v>53</v>
      </c>
      <c r="C48" s="50">
        <f>'zał2 do WPF'!B10</f>
        <v>46152445</v>
      </c>
      <c r="D48" s="50">
        <f>'zał2 do WPF'!C10</f>
        <v>51664524</v>
      </c>
      <c r="E48" s="50">
        <f>'zał2 do WPF'!D10</f>
        <v>54479628.2</v>
      </c>
      <c r="F48" s="50">
        <f>'zał2 do WPF'!E10</f>
        <v>58428945.85</v>
      </c>
      <c r="G48" s="51"/>
      <c r="H48" s="50">
        <f>'zał2 do WPF'!F10</f>
        <v>58793501</v>
      </c>
      <c r="I48" s="50">
        <f>'zał2 do WPF'!G10</f>
        <v>51033300</v>
      </c>
      <c r="J48" s="50">
        <f>'zał2 do WPF'!H10</f>
        <v>52564299</v>
      </c>
      <c r="K48" s="50">
        <f>'zał2 do WPF'!I10</f>
        <v>54141227.97</v>
      </c>
      <c r="L48" s="50">
        <f>'zał2 do WPF'!J10</f>
        <v>55765464.8091</v>
      </c>
      <c r="M48" s="50">
        <f>'zał2 do WPF'!K10</f>
        <v>57438428.753373004</v>
      </c>
      <c r="N48" s="50">
        <f>'zał2 do WPF'!L10</f>
        <v>59161581.615974195</v>
      </c>
      <c r="O48" s="50">
        <f>'zał2 do WPF'!M10</f>
        <v>60936429.06445342</v>
      </c>
      <c r="P48" s="50">
        <f>'zał2 do WPF'!N10</f>
        <v>62764521.936387025</v>
      </c>
      <c r="Q48" s="50">
        <f>'zał2 do WPF'!O10</f>
        <v>64647457.59447864</v>
      </c>
      <c r="R48" s="50">
        <f>'zał2 do WPF'!P10</f>
        <v>66586881.322312996</v>
      </c>
      <c r="S48" s="50">
        <f>'zał2 do WPF'!Q10</f>
        <v>68584487.76198238</v>
      </c>
      <c r="T48" s="50">
        <f>'zał2 do WPF'!R10</f>
        <v>70642022.39484185</v>
      </c>
      <c r="U48" s="50">
        <f>'zał2 do WPF'!S10</f>
        <v>72761283.0666871</v>
      </c>
      <c r="V48" s="50">
        <f>'zał2 do WPF'!T10</f>
        <v>74944121.55868772</v>
      </c>
      <c r="W48" s="50">
        <f>'zał2 do WPF'!U10</f>
        <v>77192445.20544834</v>
      </c>
      <c r="X48" s="50">
        <f>'zał2 do WPF'!V10</f>
        <v>79508218.5616118</v>
      </c>
      <c r="Y48" s="50">
        <f>'zał2 do WPF'!W10</f>
        <v>81893465.11846015</v>
      </c>
      <c r="Z48" s="50">
        <f>'zał2 do WPF'!X10</f>
        <v>84350269.07201396</v>
      </c>
      <c r="AA48" s="50">
        <f>'zał2 do WPF'!Y10</f>
        <v>86880777.14417438</v>
      </c>
      <c r="AB48" s="50">
        <f>'zał2 do WPF'!Z10</f>
        <v>89487200.45849961</v>
      </c>
    </row>
    <row r="49" spans="1:28" ht="12.75">
      <c r="A49" s="48"/>
      <c r="B49" s="49" t="s">
        <v>54</v>
      </c>
      <c r="C49" s="50"/>
      <c r="D49" s="50"/>
      <c r="E49" s="50"/>
      <c r="F49" s="50">
        <f>'zał2 do WPF'!E37</f>
        <v>2000000</v>
      </c>
      <c r="G49" s="50"/>
      <c r="H49" s="50">
        <f>'zał2 do WPF'!F37</f>
        <v>2200000</v>
      </c>
      <c r="I49" s="50">
        <f>'zał2 do WPF'!G37</f>
        <v>2146338.07593</v>
      </c>
      <c r="J49" s="50">
        <f>'zał2 do WPF'!H37</f>
        <v>1795048.5018600002</v>
      </c>
      <c r="K49" s="50">
        <f>'zał2 do WPF'!I37</f>
        <v>1587870.7677900002</v>
      </c>
      <c r="L49" s="50">
        <f>'zał2 do WPF'!J37</f>
        <v>1380693.0337200004</v>
      </c>
      <c r="M49" s="50">
        <f>'zał2 do WPF'!K37</f>
        <v>1173515.2996500004</v>
      </c>
      <c r="N49" s="50">
        <f>'zał2 do WPF'!L37</f>
        <v>966337.5655800004</v>
      </c>
      <c r="O49" s="50">
        <f>'zał2 do WPF'!M37</f>
        <v>759159.2915100005</v>
      </c>
      <c r="P49" s="50">
        <f>'zał2 do WPF'!N37</f>
        <v>612878.2040400004</v>
      </c>
      <c r="Q49" s="50">
        <f>'zał2 do WPF'!O37</f>
        <v>559445.8403700005</v>
      </c>
      <c r="R49" s="50">
        <f>'zał2 do WPF'!P37</f>
        <v>506013.47670000046</v>
      </c>
      <c r="S49" s="50">
        <f>'zał2 do WPF'!Q37</f>
        <v>452581.1130300004</v>
      </c>
      <c r="T49" s="50">
        <f>'zał2 do WPF'!R37</f>
        <v>399148.7493600004</v>
      </c>
      <c r="U49" s="50">
        <f>'zał2 do WPF'!S37</f>
        <v>345716.3856900004</v>
      </c>
      <c r="V49" s="50">
        <f>'zał2 do WPF'!T37</f>
        <v>292284.0220200004</v>
      </c>
      <c r="W49" s="50">
        <f>'zał2 do WPF'!U37</f>
        <v>238851.65835000036</v>
      </c>
      <c r="X49" s="50">
        <f>'zał2 do WPF'!V37</f>
        <v>185419.29468000037</v>
      </c>
      <c r="Y49" s="50">
        <f>'zał2 do WPF'!W37</f>
        <v>131986.93101000038</v>
      </c>
      <c r="Z49" s="50">
        <f>'zał2 do WPF'!X37</f>
        <v>78554.56734000039</v>
      </c>
      <c r="AA49" s="50">
        <f>'zał2 do WPF'!Y37</f>
        <v>25121.48367000038</v>
      </c>
      <c r="AB49" s="50">
        <f>'zał2 do WPF'!Z37</f>
        <v>0</v>
      </c>
    </row>
    <row r="50" spans="1:28" ht="12.75">
      <c r="A50" s="48"/>
      <c r="B50" s="49" t="s">
        <v>55</v>
      </c>
      <c r="C50" s="50"/>
      <c r="D50" s="50"/>
      <c r="E50" s="50"/>
      <c r="F50" s="51">
        <v>300000</v>
      </c>
      <c r="G50" s="51"/>
      <c r="H50" s="51">
        <v>200000</v>
      </c>
      <c r="I50" s="50">
        <f>'zał2 do WPF'!G15*0.03</f>
        <v>0</v>
      </c>
      <c r="J50" s="50">
        <f>'zał2 do WPF'!H15*0.03</f>
        <v>0</v>
      </c>
      <c r="K50" s="50">
        <f>'zał2 do WPF'!I15*0.03</f>
        <v>0</v>
      </c>
      <c r="L50" s="50">
        <f>'zał2 do WPF'!J15*0.03</f>
        <v>0</v>
      </c>
      <c r="M50" s="50">
        <f>'zał2 do WPF'!K15*0.03</f>
        <v>0</v>
      </c>
      <c r="N50" s="50">
        <f>'zał2 do WPF'!L15*0.03</f>
        <v>0</v>
      </c>
      <c r="O50" s="50">
        <f>'zał2 do WPF'!M15*0.03</f>
        <v>0</v>
      </c>
      <c r="P50" s="50">
        <f>'zał2 do WPF'!N15*0.03</f>
        <v>0</v>
      </c>
      <c r="Q50" s="50">
        <f>'zał2 do WPF'!O15*0.03</f>
        <v>0</v>
      </c>
      <c r="R50" s="50">
        <f>'zał2 do WPF'!P15*0.03</f>
        <v>0</v>
      </c>
      <c r="S50" s="50">
        <f>'zał2 do WPF'!Q15*0.03</f>
        <v>0</v>
      </c>
      <c r="T50" s="50">
        <f>'zał2 do WPF'!R15*0.03</f>
        <v>0</v>
      </c>
      <c r="U50" s="50">
        <f>'zał2 do WPF'!S15*0.03</f>
        <v>0</v>
      </c>
      <c r="V50" s="50">
        <f>'zał2 do WPF'!T15*0.03</f>
        <v>0</v>
      </c>
      <c r="W50" s="50">
        <f>'zał2 do WPF'!U15*0.03</f>
        <v>0</v>
      </c>
      <c r="X50" s="50">
        <f>'zał2 do WPF'!V15*0.03</f>
        <v>0</v>
      </c>
      <c r="Y50" s="50">
        <f>'zał2 do WPF'!W15*0.03</f>
        <v>0</v>
      </c>
      <c r="Z50" s="50">
        <f>'zał2 do WPF'!X15*0.03</f>
        <v>0</v>
      </c>
      <c r="AA50" s="50">
        <f>'zał2 do WPF'!Y15*0.03</f>
        <v>0</v>
      </c>
      <c r="AB50" s="50">
        <f>'zał2 do WPF'!Z15*0.03</f>
        <v>0</v>
      </c>
    </row>
    <row r="51" spans="1:28" ht="12.75">
      <c r="A51" s="48"/>
      <c r="B51" s="49" t="s">
        <v>56</v>
      </c>
      <c r="C51" s="51">
        <v>789474</v>
      </c>
      <c r="D51" s="51">
        <v>1074774</v>
      </c>
      <c r="E51" s="50">
        <f>'zał2 do WPF'!D37</f>
        <v>1251424.59</v>
      </c>
      <c r="F51" s="50">
        <f>SUM(F49:F50)</f>
        <v>2300000</v>
      </c>
      <c r="G51" s="50"/>
      <c r="H51" s="50">
        <f>SUM(H49:H50)</f>
        <v>2400000</v>
      </c>
      <c r="I51" s="50">
        <f>SUM(I49:I50)</f>
        <v>2146338.07593</v>
      </c>
      <c r="J51" s="50">
        <f>SUM(J49:J50)</f>
        <v>1795048.5018600002</v>
      </c>
      <c r="K51" s="50">
        <f>SUM(K49:K50)</f>
        <v>1587870.7677900002</v>
      </c>
      <c r="L51" s="50">
        <f>SUM(L49:L50)</f>
        <v>1380693.0337200004</v>
      </c>
      <c r="M51" s="50">
        <f>SUM(M49:M50)</f>
        <v>1173515.2996500004</v>
      </c>
      <c r="N51" s="50">
        <f>SUM(N49:N50)</f>
        <v>966337.5655800004</v>
      </c>
      <c r="O51" s="50">
        <f>SUM(O49:O50)</f>
        <v>759159.2915100005</v>
      </c>
      <c r="P51" s="50">
        <f>SUM(P49:P50)</f>
        <v>612878.2040400004</v>
      </c>
      <c r="Q51" s="50">
        <f>SUM(Q49:Q50)</f>
        <v>559445.8403700005</v>
      </c>
      <c r="R51" s="50">
        <f>SUM(R49:R50)</f>
        <v>506013.47670000046</v>
      </c>
      <c r="S51" s="50">
        <f>SUM(S49:S50)</f>
        <v>452581.1130300004</v>
      </c>
      <c r="T51" s="50">
        <f>SUM(T49:T50)</f>
        <v>399148.7493600004</v>
      </c>
      <c r="U51" s="50">
        <f>SUM(U49:U50)</f>
        <v>345716.3856900004</v>
      </c>
      <c r="V51" s="50">
        <f>SUM(V49:V50)</f>
        <v>292284.0220200004</v>
      </c>
      <c r="W51" s="50">
        <f>SUM(W49:W50)</f>
        <v>238851.65835000036</v>
      </c>
      <c r="X51" s="50">
        <f>SUM(X49:X50)</f>
        <v>185419.29468000037</v>
      </c>
      <c r="Y51" s="50">
        <f>SUM(Y49:Y50)</f>
        <v>131986.93101000038</v>
      </c>
      <c r="Z51" s="50">
        <f>SUM(Z49:Z50)</f>
        <v>78554.56734000039</v>
      </c>
      <c r="AA51" s="50">
        <f>SUM(AA49:AA50)</f>
        <v>25121.48367000038</v>
      </c>
      <c r="AB51" s="50">
        <f>SUM(AB49:AB50)</f>
        <v>0</v>
      </c>
    </row>
    <row r="52" spans="1:28" ht="12.75">
      <c r="A52" s="48"/>
      <c r="B52" s="49" t="s">
        <v>57</v>
      </c>
      <c r="C52" s="52">
        <f>SUM(C48-C51)</f>
        <v>45362971</v>
      </c>
      <c r="D52" s="52">
        <f>SUM(D48-D51)</f>
        <v>50589750</v>
      </c>
      <c r="E52" s="52">
        <f>SUM(E48-E51)</f>
        <v>53228203.61</v>
      </c>
      <c r="F52" s="52">
        <f>SUM(F48-F51)</f>
        <v>56128945.85</v>
      </c>
      <c r="G52" s="52"/>
      <c r="H52" s="52">
        <f>SUM(H48-H51)</f>
        <v>56393501</v>
      </c>
      <c r="I52" s="52">
        <f>SUM(I48-I51)</f>
        <v>48886961.92407</v>
      </c>
      <c r="J52" s="52">
        <f>SUM(J48-J51)</f>
        <v>50769250.49814</v>
      </c>
      <c r="K52" s="52">
        <f>SUM(K48-K51)</f>
        <v>52553357.20221</v>
      </c>
      <c r="L52" s="52">
        <f>SUM(L48-L51)</f>
        <v>54384771.77538</v>
      </c>
      <c r="M52" s="52">
        <f>SUM(M48-M51)</f>
        <v>56264913.453723006</v>
      </c>
      <c r="N52" s="52">
        <f>SUM(N48-N51)</f>
        <v>58195244.05039419</v>
      </c>
      <c r="O52" s="52">
        <f>SUM(O48-O51)</f>
        <v>60177269.77294342</v>
      </c>
      <c r="P52" s="52">
        <f>SUM(P48-P51)</f>
        <v>62151643.73234703</v>
      </c>
      <c r="Q52" s="52">
        <f>SUM(Q48-Q51)</f>
        <v>64088011.75410864</v>
      </c>
      <c r="R52" s="52">
        <f>SUM(R48-R51)</f>
        <v>66080867.845612995</v>
      </c>
      <c r="S52" s="52">
        <f>SUM(S48-S51)</f>
        <v>68131906.64895238</v>
      </c>
      <c r="T52" s="52">
        <f>SUM(T48-T51)</f>
        <v>70242873.64548185</v>
      </c>
      <c r="U52" s="52">
        <f>SUM(U48-U51)</f>
        <v>72415566.6809971</v>
      </c>
      <c r="V52" s="52">
        <f>SUM(V48-V51)</f>
        <v>74651837.53666772</v>
      </c>
      <c r="W52" s="52">
        <f>SUM(W48-W51)</f>
        <v>76953593.54709834</v>
      </c>
      <c r="X52" s="52">
        <f>SUM(X48-X51)</f>
        <v>79322799.2669318</v>
      </c>
      <c r="Y52" s="52">
        <f>SUM(Y48-Y51)</f>
        <v>81761478.18745016</v>
      </c>
      <c r="Z52" s="52">
        <f>SUM(Z48-Z51)</f>
        <v>84271714.50467396</v>
      </c>
      <c r="AA52" s="52">
        <f>SUM(AA48-AA51)</f>
        <v>86855655.66050439</v>
      </c>
      <c r="AB52" s="52">
        <f>SUM(AB48-AB51)</f>
        <v>89487200.45849961</v>
      </c>
    </row>
    <row r="53" spans="1:28" ht="12.75">
      <c r="A53" s="47"/>
      <c r="B53" s="47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</row>
    <row r="54" spans="1:28" ht="12.75">
      <c r="A54" s="47"/>
      <c r="B54" s="47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</row>
    <row r="55" spans="1:28" ht="12.75">
      <c r="A55" s="47"/>
      <c r="B55" s="53" t="s">
        <v>58</v>
      </c>
      <c r="C55" s="52"/>
      <c r="D55" s="52"/>
      <c r="E55" s="54">
        <v>0</v>
      </c>
      <c r="F55" s="51">
        <v>0</v>
      </c>
      <c r="G55" s="51"/>
      <c r="H55" s="55">
        <v>0</v>
      </c>
      <c r="I55" s="50">
        <f>'zał2 do WPF'!G12</f>
        <v>9041852.191</v>
      </c>
      <c r="J55" s="50">
        <f>'zał2 do WPF'!H12</f>
        <v>9701278.072921</v>
      </c>
      <c r="K55" s="50">
        <f>'zał2 do WPF'!I12</f>
        <v>10128441.308181554</v>
      </c>
      <c r="L55" s="50">
        <f>'zał2 do WPF'!J12</f>
        <v>10495314.312185168</v>
      </c>
      <c r="M55" s="50">
        <f>'zał2 do WPF'!K12</f>
        <v>10875147.119016416</v>
      </c>
      <c r="N55" s="50">
        <f>'zał2 do WPF'!L12</f>
        <v>11268389.084754013</v>
      </c>
      <c r="O55" s="50">
        <f>'zał2 do WPF'!M12</f>
        <v>11675504.923580937</v>
      </c>
      <c r="P55" s="50">
        <f>'zał2 do WPF'!N12</f>
        <v>12096975.22672747</v>
      </c>
      <c r="Q55" s="50">
        <f>'zał2 do WPF'!O12</f>
        <v>12533296.99878703</v>
      </c>
      <c r="R55" s="50">
        <f>'zał2 do WPF'!P12</f>
        <v>12984984.211981356</v>
      </c>
      <c r="S55" s="50">
        <f>'zał2 do WPF'!Q12</f>
        <v>13452568.378971681</v>
      </c>
      <c r="T55" s="50">
        <f>'zał2 do WPF'!R12</f>
        <v>13936599.14483127</v>
      </c>
      <c r="U55" s="50">
        <f>'zał2 do WPF'!S12</f>
        <v>14437644.898815826</v>
      </c>
      <c r="V55" s="50">
        <f>'zał2 do WPF'!T12</f>
        <v>14956293.406588763</v>
      </c>
      <c r="W55" s="50">
        <f>'zał2 do WPF'!U12</f>
        <v>15493152.463579953</v>
      </c>
      <c r="X55" s="50">
        <f>'zał2 do WPF'!V12</f>
        <v>16048850.570179462</v>
      </c>
      <c r="Y55" s="50">
        <f>'zał2 do WPF'!W12</f>
        <v>16624037.62949042</v>
      </c>
      <c r="Z55" s="50">
        <f>'zał2 do WPF'!X12</f>
        <v>17219385.668389097</v>
      </c>
      <c r="AA55" s="50">
        <f>'zał2 do WPF'!Y12</f>
        <v>17835589.58266513</v>
      </c>
      <c r="AB55" s="50">
        <f>'zał2 do WPF'!Z12</f>
        <v>18473367.907040432</v>
      </c>
    </row>
    <row r="56" spans="1:28" ht="12.75">
      <c r="A56" s="47"/>
      <c r="B56" s="53" t="s">
        <v>59</v>
      </c>
      <c r="C56" s="50"/>
      <c r="D56" s="50"/>
      <c r="E56" s="54"/>
      <c r="F56" s="56">
        <f>'zał2 do WPF'!E22</f>
        <v>5882992</v>
      </c>
      <c r="G56" s="56"/>
      <c r="H56" s="56">
        <f>'zał2 do WPF'!F22</f>
        <v>1950140</v>
      </c>
      <c r="I56" s="56">
        <f>'zał2 do WPF'!G22</f>
        <v>750000</v>
      </c>
      <c r="J56" s="56">
        <f>'zał2 do WPF'!H22</f>
        <v>750000</v>
      </c>
      <c r="K56" s="56">
        <f>'zał2 do WPF'!I22</f>
        <v>750000</v>
      </c>
      <c r="L56" s="56">
        <f>'zał2 do WPF'!J22</f>
        <v>750000</v>
      </c>
      <c r="M56" s="56">
        <f>'zał2 do WPF'!K22</f>
        <v>750000</v>
      </c>
      <c r="N56" s="56">
        <f>'zał2 do WPF'!L22</f>
        <v>750000</v>
      </c>
      <c r="O56" s="56">
        <f>'zał2 do WPF'!M22</f>
        <v>750000</v>
      </c>
      <c r="P56" s="56">
        <f>'zał2 do WPF'!N22</f>
        <v>750000</v>
      </c>
      <c r="Q56" s="56">
        <f>'zał2 do WPF'!O22</f>
        <v>750000</v>
      </c>
      <c r="R56" s="56">
        <f>'zał2 do WPF'!P22</f>
        <v>750000</v>
      </c>
      <c r="S56" s="56">
        <f>'zał2 do WPF'!Q22</f>
        <v>750000</v>
      </c>
      <c r="T56" s="56">
        <f>'zał2 do WPF'!R22</f>
        <v>750000</v>
      </c>
      <c r="U56" s="56">
        <f>'zał2 do WPF'!S22</f>
        <v>750000</v>
      </c>
      <c r="V56" s="56">
        <f>'zał2 do WPF'!T22</f>
        <v>750000</v>
      </c>
      <c r="W56" s="56">
        <f>'zał2 do WPF'!U22</f>
        <v>750000</v>
      </c>
      <c r="X56" s="56">
        <f>'zał2 do WPF'!V22</f>
        <v>750000</v>
      </c>
      <c r="Y56" s="56">
        <f>'zał2 do WPF'!W22</f>
        <v>750000</v>
      </c>
      <c r="Z56" s="56">
        <f>'zał2 do WPF'!X22</f>
        <v>750000</v>
      </c>
      <c r="AA56" s="56">
        <f>'zał2 do WPF'!Y22</f>
        <v>750000</v>
      </c>
      <c r="AB56" s="56">
        <f>'zał2 do WPF'!Z22</f>
        <v>750000</v>
      </c>
    </row>
    <row r="57" spans="1:28" ht="12.75">
      <c r="A57" s="47"/>
      <c r="B57" s="57" t="s">
        <v>23</v>
      </c>
      <c r="C57" s="58"/>
      <c r="D57" s="58"/>
      <c r="E57" s="58"/>
      <c r="F57" s="52">
        <f>SUM(E55+F56)</f>
        <v>5882992</v>
      </c>
      <c r="G57" s="52"/>
      <c r="H57" s="52">
        <f>SUM(F55+H56)</f>
        <v>1950140</v>
      </c>
      <c r="I57" s="52">
        <f>SUM(H55+I56)</f>
        <v>750000</v>
      </c>
      <c r="J57" s="52">
        <f>SUM(I55+J56)</f>
        <v>9791852.191</v>
      </c>
      <c r="K57" s="52">
        <f>SUM(J55+K56)</f>
        <v>10451278.072921</v>
      </c>
      <c r="L57" s="52">
        <f>SUM(K55+L56)</f>
        <v>10878441.308181554</v>
      </c>
      <c r="M57" s="52">
        <f>SUM(L55+M56)</f>
        <v>11245314.312185168</v>
      </c>
      <c r="N57" s="52">
        <f>SUM(M55+N56)</f>
        <v>11625147.119016416</v>
      </c>
      <c r="O57" s="52">
        <f>SUM(N55+O56)</f>
        <v>12018389.084754013</v>
      </c>
      <c r="P57" s="52">
        <f>SUM(O55+P56)</f>
        <v>12425504.923580937</v>
      </c>
      <c r="Q57" s="52">
        <f>SUM(P55+Q56)</f>
        <v>12846975.22672747</v>
      </c>
      <c r="R57" s="52">
        <f>SUM(Q55+R56)</f>
        <v>13283296.99878703</v>
      </c>
      <c r="S57" s="52">
        <f>SUM(R55+S56)</f>
        <v>13734984.211981356</v>
      </c>
      <c r="T57" s="52">
        <f>SUM(S55+T56)</f>
        <v>14202568.378971681</v>
      </c>
      <c r="U57" s="52">
        <f>SUM(T55+U56)</f>
        <v>14686599.14483127</v>
      </c>
      <c r="V57" s="52">
        <f>SUM(U55+V56)</f>
        <v>15187644.898815826</v>
      </c>
      <c r="W57" s="52">
        <f>SUM(V55+W56)</f>
        <v>15706293.406588763</v>
      </c>
      <c r="X57" s="52">
        <f>SUM(W55+X56)</f>
        <v>16243152.463579953</v>
      </c>
      <c r="Y57" s="52">
        <f>SUM(X55+Y56)</f>
        <v>16798850.570179462</v>
      </c>
      <c r="Z57" s="52">
        <f>SUM(Y55+Z56)</f>
        <v>17374037.62949042</v>
      </c>
      <c r="AA57" s="52">
        <f>SUM(Z55+AA56)</f>
        <v>17969385.668389097</v>
      </c>
      <c r="AB57" s="52">
        <f>SUM(AA55+AB56)</f>
        <v>18585589.58266513</v>
      </c>
    </row>
    <row r="58" spans="1:28" ht="12.75">
      <c r="A58" s="47"/>
      <c r="B58" s="47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</row>
    <row r="59" spans="1:28" ht="12.75">
      <c r="A59" s="47"/>
      <c r="B59" s="47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</row>
    <row r="60" spans="1:28" ht="12.75">
      <c r="A60" s="47"/>
      <c r="B60" s="47"/>
      <c r="C60" s="47"/>
      <c r="D60" s="47"/>
      <c r="E60" s="47"/>
      <c r="F60" s="48"/>
      <c r="G60" s="48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</row>
    <row r="61" spans="6:7" ht="12.75">
      <c r="F61" s="5"/>
      <c r="G61" s="5"/>
    </row>
    <row r="62" spans="6:7" ht="12.75">
      <c r="F62" s="5"/>
      <c r="G62" s="5"/>
    </row>
  </sheetData>
  <sheetProtection selectLockedCells="1" selectUnlockedCells="1"/>
  <mergeCells count="8">
    <mergeCell ref="B1:N1"/>
    <mergeCell ref="AA1:AB1"/>
    <mergeCell ref="AA2:AB2"/>
    <mergeCell ref="A3:A4"/>
    <mergeCell ref="B3:B4"/>
    <mergeCell ref="C3:AB3"/>
    <mergeCell ref="Y44:AA44"/>
    <mergeCell ref="Y45:AA45"/>
  </mergeCells>
  <printOptions/>
  <pageMargins left="0.39375" right="0.2361111111111111" top="0.2361111111111111" bottom="0.2361111111111111" header="0.5118055555555555" footer="0.5118055555555555"/>
  <pageSetup horizontalDpi="300" verticalDpi="300" orientation="landscape" paperSize="8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83"/>
  <sheetViews>
    <sheetView zoomScale="90" zoomScaleNormal="90" workbookViewId="0" topLeftCell="A1">
      <selection activeCell="F33" sqref="F33"/>
    </sheetView>
  </sheetViews>
  <sheetFormatPr defaultColWidth="12.57421875" defaultRowHeight="12.75"/>
  <cols>
    <col min="1" max="1" width="41.421875" style="0" customWidth="1"/>
    <col min="2" max="2" width="15.57421875" style="0" customWidth="1"/>
    <col min="3" max="3" width="16.00390625" style="0" customWidth="1"/>
    <col min="4" max="4" width="14.28125" style="0" customWidth="1"/>
    <col min="5" max="5" width="16.00390625" style="0" customWidth="1"/>
    <col min="6" max="6" width="15.00390625" style="0" customWidth="1"/>
    <col min="7" max="13" width="14.28125" style="0" customWidth="1"/>
    <col min="14" max="14" width="15.8515625" style="0" customWidth="1"/>
    <col min="15" max="15" width="14.28125" style="0" customWidth="1"/>
    <col min="16" max="22" width="14.57421875" style="0" customWidth="1"/>
    <col min="23" max="24" width="15.7109375" style="0" customWidth="1"/>
    <col min="25" max="25" width="16.421875" style="0" customWidth="1"/>
    <col min="26" max="26" width="14.7109375" style="0" customWidth="1"/>
    <col min="27" max="27" width="18.28125" style="0" customWidth="1"/>
    <col min="28" max="28" width="18.421875" style="0" customWidth="1"/>
    <col min="29" max="16384" width="11.57421875" style="0" customWidth="1"/>
  </cols>
  <sheetData>
    <row r="1" spans="1:26" ht="13.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60" t="s">
        <v>60</v>
      </c>
      <c r="Z1" s="60"/>
    </row>
    <row r="2" spans="1:26" ht="39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60" t="str">
        <f>'zał3 do WPF'!J2</f>
        <v>Do Uchwały  Nr XV/98/2011
Rady Miejskiej
z dnia 29 grudnia 2011r.</v>
      </c>
      <c r="Z2" s="60"/>
    </row>
    <row r="3" spans="1:27" ht="21" customHeight="1">
      <c r="A3" s="61" t="s">
        <v>61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 t="s">
        <v>62</v>
      </c>
      <c r="Z3" s="61"/>
      <c r="AA3" t="s">
        <v>63</v>
      </c>
    </row>
    <row r="4" spans="1:26" ht="12.75">
      <c r="A4" s="62"/>
      <c r="B4" s="63" t="s">
        <v>64</v>
      </c>
      <c r="C4" s="63" t="s">
        <v>65</v>
      </c>
      <c r="D4" s="63" t="s">
        <v>66</v>
      </c>
      <c r="E4" s="63" t="s">
        <v>5</v>
      </c>
      <c r="F4" s="64" t="s">
        <v>67</v>
      </c>
      <c r="G4" s="63" t="s">
        <v>68</v>
      </c>
      <c r="H4" s="63" t="s">
        <v>69</v>
      </c>
      <c r="I4" s="63" t="s">
        <v>70</v>
      </c>
      <c r="J4" s="63" t="s">
        <v>71</v>
      </c>
      <c r="K4" s="63" t="s">
        <v>72</v>
      </c>
      <c r="L4" s="63" t="s">
        <v>73</v>
      </c>
      <c r="M4" s="63" t="s">
        <v>74</v>
      </c>
      <c r="N4" s="63" t="s">
        <v>75</v>
      </c>
      <c r="O4" s="63" t="s">
        <v>76</v>
      </c>
      <c r="P4" s="63" t="s">
        <v>77</v>
      </c>
      <c r="Q4" s="63" t="s">
        <v>78</v>
      </c>
      <c r="R4" s="63" t="s">
        <v>79</v>
      </c>
      <c r="S4" s="63" t="s">
        <v>80</v>
      </c>
      <c r="T4" s="63" t="s">
        <v>81</v>
      </c>
      <c r="U4" s="63" t="s">
        <v>82</v>
      </c>
      <c r="V4" s="63" t="s">
        <v>83</v>
      </c>
      <c r="W4" s="63" t="s">
        <v>84</v>
      </c>
      <c r="X4" s="63" t="s">
        <v>85</v>
      </c>
      <c r="Y4" s="63" t="s">
        <v>86</v>
      </c>
      <c r="Z4" s="63" t="s">
        <v>87</v>
      </c>
    </row>
    <row r="5" spans="1:26" ht="24.75" customHeight="1">
      <c r="A5" s="65" t="s">
        <v>88</v>
      </c>
      <c r="B5" s="66">
        <f>B6+B7</f>
        <v>56602913</v>
      </c>
      <c r="C5" s="66">
        <f>C6+C7</f>
        <v>65638462</v>
      </c>
      <c r="D5" s="66">
        <f>D6+D7</f>
        <v>76066696.03</v>
      </c>
      <c r="E5" s="66">
        <f>E6+E7</f>
        <v>87758215.85</v>
      </c>
      <c r="F5" s="66">
        <f>F6+F7</f>
        <v>80116245</v>
      </c>
      <c r="G5" s="66">
        <f>G6+G7</f>
        <v>67427680.191</v>
      </c>
      <c r="H5" s="66">
        <f>H6+H7</f>
        <v>64765577.072921</v>
      </c>
      <c r="I5" s="66">
        <f>I6+I7</f>
        <v>66769669.27818155</v>
      </c>
      <c r="J5" s="66">
        <f>J6+J7</f>
        <v>68835779.12128517</v>
      </c>
      <c r="K5" s="66">
        <f>K6+K7</f>
        <v>70965825.87238942</v>
      </c>
      <c r="L5" s="66">
        <f>L6+L7</f>
        <v>73161788.20072821</v>
      </c>
      <c r="M5" s="66">
        <f>M6+M7</f>
        <v>75425706.01303436</v>
      </c>
      <c r="N5" s="66">
        <f>N6+N7</f>
        <v>77759682.3488645</v>
      </c>
      <c r="O5" s="66">
        <f>O6+O7</f>
        <v>80165885.33458817</v>
      </c>
      <c r="P5" s="66">
        <f>P6+P7</f>
        <v>82646550.19785653</v>
      </c>
      <c r="Q5" s="66">
        <f>Q6+Q7</f>
        <v>85203981.3444231</v>
      </c>
      <c r="R5" s="66">
        <f>R6+R7</f>
        <v>87840554.49924622</v>
      </c>
      <c r="S5" s="66">
        <f>S6+S7</f>
        <v>90558718.91386324</v>
      </c>
      <c r="T5" s="66">
        <f>T6+T7</f>
        <v>93360999.6420876</v>
      </c>
      <c r="U5" s="66">
        <f>U6+U7</f>
        <v>96249999.88614374</v>
      </c>
      <c r="V5" s="66">
        <f>V6+V7</f>
        <v>99228403.41542017</v>
      </c>
      <c r="W5" s="66">
        <f>W6+W7</f>
        <v>102298977.06008835</v>
      </c>
      <c r="X5" s="66">
        <f>X6+X7</f>
        <v>105464573.28190497</v>
      </c>
      <c r="Y5" s="66">
        <f>Y6+Y7</f>
        <v>108728132.82458648</v>
      </c>
      <c r="Z5" s="66">
        <f>Z6+Z7</f>
        <v>112092687.44621941</v>
      </c>
    </row>
    <row r="6" spans="1:26" ht="23.25" customHeight="1">
      <c r="A6" s="67" t="s">
        <v>89</v>
      </c>
      <c r="B6" s="68">
        <v>48236781</v>
      </c>
      <c r="C6" s="68">
        <v>54877794</v>
      </c>
      <c r="D6" s="69">
        <v>59404315.82</v>
      </c>
      <c r="E6" s="68">
        <f>60663677.01+44363+149878+1729+123825.84+61458</f>
        <v>61044930.85</v>
      </c>
      <c r="F6" s="68">
        <v>57504361</v>
      </c>
      <c r="G6" s="70">
        <f>SUM(F6+0.031*F6)</f>
        <v>59286996.191</v>
      </c>
      <c r="H6" s="70">
        <f>SUM(G6+0.031*G6)</f>
        <v>61124893.072921</v>
      </c>
      <c r="I6" s="70">
        <f>SUM(H6+0.031*H6)</f>
        <v>63019764.75818155</v>
      </c>
      <c r="J6" s="70">
        <f>SUM(I6+0.031*I6)</f>
        <v>64973377.465685174</v>
      </c>
      <c r="K6" s="70">
        <f>SUM(J6+0.031*J6)</f>
        <v>66987552.16712142</v>
      </c>
      <c r="L6" s="70">
        <f>SUM(K6+0.031*K6)</f>
        <v>69064166.28430218</v>
      </c>
      <c r="M6" s="70">
        <f>SUM(L6+0.031*L6)</f>
        <v>71205155.43911554</v>
      </c>
      <c r="N6" s="70">
        <f>SUM(M6+0.031*M6)</f>
        <v>73412515.25772811</v>
      </c>
      <c r="O6" s="70">
        <f>SUM(N6+0.031*N6)</f>
        <v>75688303.23071769</v>
      </c>
      <c r="P6" s="70">
        <f>SUM(O6+0.031*O6)</f>
        <v>78034640.63086994</v>
      </c>
      <c r="Q6" s="70">
        <f>SUM(P6+0.031*P6)</f>
        <v>80453714.49042691</v>
      </c>
      <c r="R6" s="70">
        <f>SUM(Q6+0.031*Q6)</f>
        <v>82947779.63963015</v>
      </c>
      <c r="S6" s="70">
        <f>SUM(R6+0.031*R6)</f>
        <v>85519160.80845869</v>
      </c>
      <c r="T6" s="70">
        <f>SUM(S6+0.031*S6)</f>
        <v>88170254.7935209</v>
      </c>
      <c r="U6" s="70">
        <f>SUM(T6+0.031*T6)</f>
        <v>90903532.69212005</v>
      </c>
      <c r="V6" s="70">
        <f>SUM(U6+0.031*U6)</f>
        <v>93721542.20557576</v>
      </c>
      <c r="W6" s="70">
        <f>SUM(V6+0.031*V6)</f>
        <v>96626910.01394862</v>
      </c>
      <c r="X6" s="70">
        <f>SUM(W6+0.031*W6)</f>
        <v>99622344.22438103</v>
      </c>
      <c r="Y6" s="70">
        <f>SUM(X6+0.031*X6)</f>
        <v>102710636.89533684</v>
      </c>
      <c r="Z6" s="70">
        <f>SUM(Y6+0.031*Y6)</f>
        <v>105894666.63909228</v>
      </c>
    </row>
    <row r="7" spans="1:26" ht="20.25" customHeight="1">
      <c r="A7" s="67" t="s">
        <v>90</v>
      </c>
      <c r="B7" s="68">
        <v>8366132</v>
      </c>
      <c r="C7" s="68">
        <v>10760668</v>
      </c>
      <c r="D7" s="69">
        <v>16662380.21</v>
      </c>
      <c r="E7" s="68">
        <f>26903285-190000</f>
        <v>26713285</v>
      </c>
      <c r="F7" s="68">
        <f>17781884+F8</f>
        <v>22611884</v>
      </c>
      <c r="G7" s="68">
        <f>6000000+2140684</f>
        <v>8140684</v>
      </c>
      <c r="H7" s="68">
        <f>2140684+H8</f>
        <v>3640684</v>
      </c>
      <c r="I7" s="70">
        <f>SUM(H7+0.03*H7)</f>
        <v>3749904.52</v>
      </c>
      <c r="J7" s="70">
        <f>SUM(I7+0.03*I7)</f>
        <v>3862401.6556</v>
      </c>
      <c r="K7" s="70">
        <f>SUM(J7+0.03*J7)</f>
        <v>3978273.7052680003</v>
      </c>
      <c r="L7" s="70">
        <f>SUM(K7+0.03*K7)</f>
        <v>4097621.91642604</v>
      </c>
      <c r="M7" s="70">
        <f>SUM(L7+0.03*L7)</f>
        <v>4220550.573918821</v>
      </c>
      <c r="N7" s="70">
        <f>SUM(M7+0.03*M7)</f>
        <v>4347167.091136386</v>
      </c>
      <c r="O7" s="70">
        <f>SUM(N7+0.03*N7)</f>
        <v>4477582.1038704775</v>
      </c>
      <c r="P7" s="70">
        <f>SUM(O7+0.03*O7)</f>
        <v>4611909.566986592</v>
      </c>
      <c r="Q7" s="70">
        <f>SUM(P7+0.03*P7)</f>
        <v>4750266.853996189</v>
      </c>
      <c r="R7" s="70">
        <f>SUM(Q7+0.03*Q7)</f>
        <v>4892774.859616075</v>
      </c>
      <c r="S7" s="70">
        <f>SUM(R7+0.03*R7)</f>
        <v>5039558.105404557</v>
      </c>
      <c r="T7" s="70">
        <f>SUM(S7+0.03*S7)</f>
        <v>5190744.848566693</v>
      </c>
      <c r="U7" s="70">
        <f>SUM(T7+0.03*T7)</f>
        <v>5346467.194023694</v>
      </c>
      <c r="V7" s="70">
        <f>SUM(U7+0.03*U7)</f>
        <v>5506861.209844405</v>
      </c>
      <c r="W7" s="70">
        <f>SUM(V7+0.03*V7)</f>
        <v>5672067.046139737</v>
      </c>
      <c r="X7" s="70">
        <f>SUM(W7+0.03*W7)</f>
        <v>5842229.057523929</v>
      </c>
      <c r="Y7" s="70">
        <f>SUM(X7+0.03*X7)</f>
        <v>6017495.929249646</v>
      </c>
      <c r="Z7" s="70">
        <f>SUM(Y7+0.03*Y7)</f>
        <v>6198020.807127136</v>
      </c>
    </row>
    <row r="8" spans="1:26" ht="20.25" customHeight="1">
      <c r="A8" s="67" t="s">
        <v>91</v>
      </c>
      <c r="B8" s="68">
        <v>2943102</v>
      </c>
      <c r="C8" s="68">
        <v>1702924</v>
      </c>
      <c r="D8" s="71">
        <v>1908591.03</v>
      </c>
      <c r="E8" s="68">
        <v>1435000</v>
      </c>
      <c r="F8" s="68">
        <f>4830000</f>
        <v>4830000</v>
      </c>
      <c r="G8" s="68">
        <f>6000000</f>
        <v>6000000</v>
      </c>
      <c r="H8" s="68">
        <v>1500000</v>
      </c>
      <c r="I8" s="70">
        <f>SUM(H8+0.03*H8)</f>
        <v>1545000</v>
      </c>
      <c r="J8" s="70">
        <f>SUM(I8+0.03*I8)</f>
        <v>1591350</v>
      </c>
      <c r="K8" s="70">
        <f>SUM(J8+0.03*J8)</f>
        <v>1639090.5</v>
      </c>
      <c r="L8" s="70">
        <f>SUM(K8+0.03*K8)</f>
        <v>1688263.215</v>
      </c>
      <c r="M8" s="70">
        <f>SUM(L8+0.03*L8)</f>
        <v>1738911.1114500002</v>
      </c>
      <c r="N8" s="70">
        <f>SUM(M8+0.03*M8)</f>
        <v>1791078.4447935002</v>
      </c>
      <c r="O8" s="70">
        <f>SUM(N8+0.03*N8)</f>
        <v>1844810.7981373053</v>
      </c>
      <c r="P8" s="70">
        <f>SUM(O8+0.03*O8)</f>
        <v>1900155.1220814246</v>
      </c>
      <c r="Q8" s="70">
        <f>SUM(P8+0.03*P8)</f>
        <v>1957159.7757438673</v>
      </c>
      <c r="R8" s="70">
        <f>SUM(Q8+0.03*Q8)</f>
        <v>2015874.5690161833</v>
      </c>
      <c r="S8" s="70">
        <f>SUM(R8+0.03*R8)</f>
        <v>2076350.8060866687</v>
      </c>
      <c r="T8" s="70">
        <f>SUM(S8+0.03*S8)</f>
        <v>2138641.3302692687</v>
      </c>
      <c r="U8" s="70">
        <f>SUM(T8+0.03*T8)</f>
        <v>2202800.570177347</v>
      </c>
      <c r="V8" s="70">
        <f>SUM(U8+0.03*U8)</f>
        <v>2268884.5872826674</v>
      </c>
      <c r="W8" s="70">
        <f>SUM(V8+0.03*V8)</f>
        <v>2336951.1249011476</v>
      </c>
      <c r="X8" s="70">
        <f>SUM(W8+0.03*W8)</f>
        <v>2407059.658648182</v>
      </c>
      <c r="Y8" s="70">
        <f>SUM(X8+0.03*X8)</f>
        <v>2479271.4484076276</v>
      </c>
      <c r="Z8" s="70">
        <f>SUM(Y8+0.03*Y8)</f>
        <v>2553649.5918598566</v>
      </c>
    </row>
    <row r="9" spans="1:26" ht="21.75" customHeight="1">
      <c r="A9" s="65" t="s">
        <v>92</v>
      </c>
      <c r="B9" s="66">
        <f>B10+B11</f>
        <v>64898002</v>
      </c>
      <c r="C9" s="66">
        <f>C10+C11</f>
        <v>71336733</v>
      </c>
      <c r="D9" s="66">
        <f>D10+D11</f>
        <v>82713065.63</v>
      </c>
      <c r="E9" s="66">
        <f>E10+E11</f>
        <v>96141121.85</v>
      </c>
      <c r="F9" s="66">
        <f>F10+F11</f>
        <v>83159072</v>
      </c>
      <c r="G9" s="66">
        <f>G10+G11</f>
        <v>58385828</v>
      </c>
      <c r="H9" s="66">
        <f>H10+H11</f>
        <v>55064299</v>
      </c>
      <c r="I9" s="66">
        <f>I10+I11</f>
        <v>56641227.97</v>
      </c>
      <c r="J9" s="66">
        <f>J10+J11</f>
        <v>58340464.8091</v>
      </c>
      <c r="K9" s="66">
        <f>K10+K11</f>
        <v>60090678.753373004</v>
      </c>
      <c r="L9" s="66">
        <f>L10+L11</f>
        <v>61893399.115974195</v>
      </c>
      <c r="M9" s="66">
        <f>M10+M11</f>
        <v>63750201.08945342</v>
      </c>
      <c r="N9" s="66">
        <f>N10+N11</f>
        <v>65662707.122137025</v>
      </c>
      <c r="O9" s="66">
        <f>O10+O11</f>
        <v>67632588.33580114</v>
      </c>
      <c r="P9" s="66">
        <f>P10+P11</f>
        <v>69661565.98587517</v>
      </c>
      <c r="Q9" s="66">
        <f>Q10+Q11</f>
        <v>71751412.96545142</v>
      </c>
      <c r="R9" s="66">
        <f>R10+R11</f>
        <v>73903955.35441495</v>
      </c>
      <c r="S9" s="66">
        <f>S10+S11</f>
        <v>76121074.01504742</v>
      </c>
      <c r="T9" s="66">
        <f>T10+T11</f>
        <v>78404706.23549883</v>
      </c>
      <c r="U9" s="66">
        <f>U10+U11</f>
        <v>80756847.42256379</v>
      </c>
      <c r="V9" s="66">
        <f>V10+V11</f>
        <v>83179552.84524071</v>
      </c>
      <c r="W9" s="66">
        <f>W10+W11</f>
        <v>85674939.43059793</v>
      </c>
      <c r="X9" s="66">
        <f>X10+X11</f>
        <v>88245187.61351587</v>
      </c>
      <c r="Y9" s="66">
        <f>Y10+Y11</f>
        <v>90892543.24192135</v>
      </c>
      <c r="Z9" s="66">
        <f>Z10+Z11</f>
        <v>93619319.53917898</v>
      </c>
    </row>
    <row r="10" spans="1:26" ht="25.5" customHeight="1">
      <c r="A10" s="67" t="s">
        <v>93</v>
      </c>
      <c r="B10" s="68">
        <v>46152445</v>
      </c>
      <c r="C10" s="68">
        <v>51664524</v>
      </c>
      <c r="D10" s="69">
        <v>54479628.2</v>
      </c>
      <c r="E10" s="68">
        <f>58487692.01+44363-360000+149878+1729+43825.84+61458</f>
        <v>58428945.85</v>
      </c>
      <c r="F10" s="68">
        <v>58793501</v>
      </c>
      <c r="G10" s="68">
        <f>50683300+350000</f>
        <v>51033300</v>
      </c>
      <c r="H10" s="70">
        <f>SUM(G10+0.03*G10)</f>
        <v>52564299</v>
      </c>
      <c r="I10" s="70">
        <f>SUM(H10+0.03*H10)</f>
        <v>54141227.97</v>
      </c>
      <c r="J10" s="70">
        <f>SUM(I10+0.03*I10)</f>
        <v>55765464.8091</v>
      </c>
      <c r="K10" s="70">
        <f>SUM(J10+0.03*J10)</f>
        <v>57438428.753373004</v>
      </c>
      <c r="L10" s="70">
        <f>SUM(K10+0.03*K10)</f>
        <v>59161581.615974195</v>
      </c>
      <c r="M10" s="70">
        <f>SUM(L10+0.03*L10)</f>
        <v>60936429.06445342</v>
      </c>
      <c r="N10" s="70">
        <f>SUM(M10+0.03*M10)</f>
        <v>62764521.936387025</v>
      </c>
      <c r="O10" s="70">
        <f>SUM(N10+0.03*N10)</f>
        <v>64647457.59447864</v>
      </c>
      <c r="P10" s="70">
        <f>SUM(O10+0.03*O10)</f>
        <v>66586881.322312996</v>
      </c>
      <c r="Q10" s="70">
        <f>SUM(P10+0.03*P10)</f>
        <v>68584487.76198238</v>
      </c>
      <c r="R10" s="70">
        <f>SUM(Q10+0.03*Q10)</f>
        <v>70642022.39484185</v>
      </c>
      <c r="S10" s="70">
        <f>SUM(R10+0.03*R10)</f>
        <v>72761283.0666871</v>
      </c>
      <c r="T10" s="70">
        <f>SUM(S10+0.03*S10)</f>
        <v>74944121.55868772</v>
      </c>
      <c r="U10" s="70">
        <f>SUM(T10+0.03*T10)</f>
        <v>77192445.20544834</v>
      </c>
      <c r="V10" s="70">
        <f>SUM(U10+0.03*U10)</f>
        <v>79508218.5616118</v>
      </c>
      <c r="W10" s="70">
        <f>SUM(V10+0.03*V10)</f>
        <v>81893465.11846015</v>
      </c>
      <c r="X10" s="70">
        <f>SUM(W10+0.03*W10)</f>
        <v>84350269.07201396</v>
      </c>
      <c r="Y10" s="70">
        <f>SUM(X10+0.03*X10)</f>
        <v>86880777.14417438</v>
      </c>
      <c r="Z10" s="70">
        <f>SUM(Y10+0.03*Y10)</f>
        <v>89487200.45849961</v>
      </c>
    </row>
    <row r="11" spans="1:26" ht="21" customHeight="1">
      <c r="A11" s="67" t="s">
        <v>94</v>
      </c>
      <c r="B11" s="68">
        <v>18745557</v>
      </c>
      <c r="C11" s="68">
        <v>19672209</v>
      </c>
      <c r="D11" s="69">
        <v>28233437.43</v>
      </c>
      <c r="E11" s="68">
        <f>38462176-640000-110000</f>
        <v>37712176</v>
      </c>
      <c r="F11" s="68">
        <v>24365571</v>
      </c>
      <c r="G11" s="70">
        <f>'zał3 do WPF'!I10+1000000</f>
        <v>7352528</v>
      </c>
      <c r="H11" s="70">
        <f>'zał3 do WPF'!J10+1000000</f>
        <v>2500000</v>
      </c>
      <c r="I11" s="70">
        <f>'zał3 do WPF'!K10+1000000</f>
        <v>2500000</v>
      </c>
      <c r="J11" s="70">
        <f>SUM(I11+0.03*I11)</f>
        <v>2575000</v>
      </c>
      <c r="K11" s="70">
        <f>SUM(J11+0.03*J11)</f>
        <v>2652250</v>
      </c>
      <c r="L11" s="70">
        <f>SUM(K11+0.03*K11)</f>
        <v>2731817.5</v>
      </c>
      <c r="M11" s="70">
        <f>SUM(L11+0.03*L11)</f>
        <v>2813772.025</v>
      </c>
      <c r="N11" s="70">
        <f>SUM(M11+0.03*M11)</f>
        <v>2898185.1857499997</v>
      </c>
      <c r="O11" s="70">
        <f>SUM(N11+0.03*N11)</f>
        <v>2985130.7413224997</v>
      </c>
      <c r="P11" s="70">
        <f>SUM(O11+0.03*O11)</f>
        <v>3074684.663562175</v>
      </c>
      <c r="Q11" s="70">
        <f>SUM(P11+0.03*P11)</f>
        <v>3166925.2034690403</v>
      </c>
      <c r="R11" s="70">
        <f>SUM(Q11+0.03*Q11)</f>
        <v>3261932.9595731115</v>
      </c>
      <c r="S11" s="70">
        <f>SUM(R11+0.03*R11)</f>
        <v>3359790.948360305</v>
      </c>
      <c r="T11" s="70">
        <f>SUM(S11+0.03*S11)</f>
        <v>3460584.676811114</v>
      </c>
      <c r="U11" s="70">
        <f>SUM(T11+0.03*T11)</f>
        <v>3564402.2171154474</v>
      </c>
      <c r="V11" s="70">
        <f>SUM(U11+0.03*U11)</f>
        <v>3671334.283628911</v>
      </c>
      <c r="W11" s="70">
        <f>SUM(V11+0.03*V11)</f>
        <v>3781474.312137778</v>
      </c>
      <c r="X11" s="70">
        <f>SUM(W11+0.03*W11)</f>
        <v>3894918.5415019114</v>
      </c>
      <c r="Y11" s="70">
        <f>SUM(X11+0.03*X11)</f>
        <v>4011766.0977469687</v>
      </c>
      <c r="Z11" s="70">
        <f>SUM(Y11+0.03*Y11)</f>
        <v>4132119.080679378</v>
      </c>
    </row>
    <row r="12" spans="1:26" ht="21.75" customHeight="1">
      <c r="A12" s="65" t="s">
        <v>95</v>
      </c>
      <c r="B12" s="66">
        <f>B5-B9</f>
        <v>-8295089</v>
      </c>
      <c r="C12" s="66">
        <f>C5-C9</f>
        <v>-5698271</v>
      </c>
      <c r="D12" s="66">
        <f>D5-D9</f>
        <v>-6646369.599999994</v>
      </c>
      <c r="E12" s="66">
        <f>E5-E9</f>
        <v>-8382906</v>
      </c>
      <c r="F12" s="66">
        <f>F5-F9</f>
        <v>-3042827</v>
      </c>
      <c r="G12" s="66">
        <f>G5-G9</f>
        <v>9041852.191</v>
      </c>
      <c r="H12" s="66">
        <f>H5-H9</f>
        <v>9701278.072921</v>
      </c>
      <c r="I12" s="66">
        <f>I5-I9</f>
        <v>10128441.308181554</v>
      </c>
      <c r="J12" s="66">
        <f>J5-J9</f>
        <v>10495314.312185168</v>
      </c>
      <c r="K12" s="66">
        <f>K5-K9</f>
        <v>10875147.119016416</v>
      </c>
      <c r="L12" s="66">
        <f>L5-L9</f>
        <v>11268389.084754013</v>
      </c>
      <c r="M12" s="66">
        <f>M5-M9</f>
        <v>11675504.923580937</v>
      </c>
      <c r="N12" s="66">
        <f>N5-N9</f>
        <v>12096975.22672747</v>
      </c>
      <c r="O12" s="66">
        <f>O5-O9</f>
        <v>12533296.99878703</v>
      </c>
      <c r="P12" s="66">
        <f>P5-P9</f>
        <v>12984984.211981356</v>
      </c>
      <c r="Q12" s="66">
        <f>Q5-Q9</f>
        <v>13452568.378971681</v>
      </c>
      <c r="R12" s="66">
        <f>R5-R9</f>
        <v>13936599.14483127</v>
      </c>
      <c r="S12" s="66">
        <f>S5-S9</f>
        <v>14437644.898815826</v>
      </c>
      <c r="T12" s="66">
        <f>T5-T9</f>
        <v>14956293.406588763</v>
      </c>
      <c r="U12" s="66">
        <f>U5-U9</f>
        <v>15493152.463579953</v>
      </c>
      <c r="V12" s="66">
        <f>V5-V9</f>
        <v>16048850.570179462</v>
      </c>
      <c r="W12" s="66">
        <f>W5-W9</f>
        <v>16624037.62949042</v>
      </c>
      <c r="X12" s="66">
        <f>X5-X9</f>
        <v>17219385.668389097</v>
      </c>
      <c r="Y12" s="66">
        <f>Y5-Y9</f>
        <v>17835589.58266513</v>
      </c>
      <c r="Z12" s="66">
        <f>Z5-Z9</f>
        <v>18473367.907040432</v>
      </c>
    </row>
    <row r="13" spans="1:26" ht="24" customHeight="1">
      <c r="A13" s="65" t="s">
        <v>96</v>
      </c>
      <c r="B13" s="66">
        <f>B14-B24</f>
        <v>12402721</v>
      </c>
      <c r="C13" s="66">
        <f>C14-C24</f>
        <v>8941150.98</v>
      </c>
      <c r="D13" s="66">
        <f>D14-D24</f>
        <v>12450511.719999999</v>
      </c>
      <c r="E13" s="66">
        <f>E14-E24</f>
        <v>8382906</v>
      </c>
      <c r="F13" s="66">
        <f>F14-F24</f>
        <v>3042827</v>
      </c>
      <c r="G13" s="66">
        <f>G14-G24</f>
        <v>-5104825.4345</v>
      </c>
      <c r="H13" s="66">
        <f>H14-H24</f>
        <v>-5104826.2345</v>
      </c>
      <c r="I13" s="66">
        <f>I14-I24</f>
        <v>-2702962.2345</v>
      </c>
      <c r="J13" s="66">
        <f>J14-J24</f>
        <v>-2702962.2345</v>
      </c>
      <c r="K13" s="66">
        <f>K14-K24</f>
        <v>-2702962.2345</v>
      </c>
      <c r="L13" s="66">
        <f>L14-L24</f>
        <v>-2702962.2345</v>
      </c>
      <c r="M13" s="66">
        <f>M14-M24</f>
        <v>-2702971.2345</v>
      </c>
      <c r="N13" s="66">
        <f>N14-N24</f>
        <v>-1688018.1245</v>
      </c>
      <c r="O13" s="66">
        <f>O14-O24</f>
        <v>-140539.39450000005</v>
      </c>
      <c r="P13" s="66">
        <f>P14-P24</f>
        <v>-140539.39450000005</v>
      </c>
      <c r="Q13" s="66">
        <f>Q14-Q24</f>
        <v>-140539.39450000005</v>
      </c>
      <c r="R13" s="66">
        <f>R14-R24</f>
        <v>-140539.39450000005</v>
      </c>
      <c r="S13" s="66">
        <f>S14-S24</f>
        <v>-140539.39450000005</v>
      </c>
      <c r="T13" s="66">
        <f>T14-T24</f>
        <v>-140539.39450000005</v>
      </c>
      <c r="U13" s="66">
        <f>U14-U24</f>
        <v>-140539.39450000005</v>
      </c>
      <c r="V13" s="66">
        <f>V14-V24</f>
        <v>-140539.39450000005</v>
      </c>
      <c r="W13" s="66">
        <f>W14-W24</f>
        <v>-140539.39450000005</v>
      </c>
      <c r="X13" s="66">
        <f>X14-X24</f>
        <v>-140539.39450000005</v>
      </c>
      <c r="Y13" s="66">
        <f>Y14-Y24</f>
        <v>-140551.39450000005</v>
      </c>
      <c r="Z13" s="66">
        <f>Z14-Z24</f>
        <v>331308.60549999995</v>
      </c>
    </row>
    <row r="14" spans="1:26" ht="23.25" customHeight="1">
      <c r="A14" s="65" t="s">
        <v>97</v>
      </c>
      <c r="B14" s="66">
        <f>B15+B17+B19+B20+B21+B22+B23</f>
        <v>16619580</v>
      </c>
      <c r="C14" s="66">
        <f>C15+C17+C19+C20+C21+C22+C23</f>
        <v>14873160</v>
      </c>
      <c r="D14" s="66">
        <f>D15+D17+D19+D20+D21+D22+D23</f>
        <v>18926628</v>
      </c>
      <c r="E14" s="66">
        <f>E15+E17+E19+E20+E21+E22+E23</f>
        <v>15084040</v>
      </c>
      <c r="F14" s="66">
        <f>F15+F17+F19+F20+F21+F22+F23</f>
        <v>10323967.89</v>
      </c>
      <c r="G14" s="66">
        <f>G15+G17+G19+G20+G21+G22+G23</f>
        <v>750000</v>
      </c>
      <c r="H14" s="66">
        <f>H15+H17+H19+H20+H21+H22+H23</f>
        <v>750000</v>
      </c>
      <c r="I14" s="66">
        <f>I15+I17+I19+I20+I21+I22+I23</f>
        <v>750000</v>
      </c>
      <c r="J14" s="66">
        <f>J15+J17+J19+J20+J21+J22+J23</f>
        <v>750000</v>
      </c>
      <c r="K14" s="66">
        <f>K15+K17+K19+K20+K21+K22+K23</f>
        <v>750000</v>
      </c>
      <c r="L14" s="66">
        <f>L15+L17+L19+L20+L21+L22+L23</f>
        <v>750000</v>
      </c>
      <c r="M14" s="66">
        <f>M15+M17+M19+M20+M21+M22+M23</f>
        <v>750000</v>
      </c>
      <c r="N14" s="66">
        <f>N15+N17+N19+N20+N21+N22+N23</f>
        <v>750000</v>
      </c>
      <c r="O14" s="66">
        <f>O15+O17+O19+O20+O21+O22+O23</f>
        <v>750000</v>
      </c>
      <c r="P14" s="66">
        <f>P15+P17+P19+P20+P21+P22+P23</f>
        <v>750000</v>
      </c>
      <c r="Q14" s="66">
        <f>Q15+Q17+Q19+Q20+Q21+Q22+Q23</f>
        <v>750000</v>
      </c>
      <c r="R14" s="66">
        <f>R15+R17+R19+R20+R21+R22+R23</f>
        <v>750000</v>
      </c>
      <c r="S14" s="66">
        <f>S15+S17+S19+S20+S21+S22+S23</f>
        <v>750000</v>
      </c>
      <c r="T14" s="66">
        <f>T15+T17+T19+T20+T21+T22+T23</f>
        <v>750000</v>
      </c>
      <c r="U14" s="66">
        <f>U15+U17+U19+U20+U21+U22+U23</f>
        <v>750000</v>
      </c>
      <c r="V14" s="66">
        <f>V15+V17+V19+V20+V21+V22+V23</f>
        <v>750000</v>
      </c>
      <c r="W14" s="66">
        <f>W15+W17+W19+W20+W21+W22+W23</f>
        <v>750000</v>
      </c>
      <c r="X14" s="66">
        <f>X15+X17+X19+X20+X21+X22+X23</f>
        <v>750000</v>
      </c>
      <c r="Y14" s="66">
        <f>Y15+Y17+Y19+Y20+Y21+Y22+Y23</f>
        <v>750000</v>
      </c>
      <c r="Z14" s="66">
        <f>Z15+Z17+Z19+Z20+Z21+Z22+Z23</f>
        <v>750000</v>
      </c>
    </row>
    <row r="15" spans="1:26" ht="27" customHeight="1">
      <c r="A15" s="67" t="s">
        <v>98</v>
      </c>
      <c r="B15" s="68">
        <v>14411180</v>
      </c>
      <c r="C15" s="68">
        <v>10425160</v>
      </c>
      <c r="D15" s="68">
        <v>15861658</v>
      </c>
      <c r="E15" s="68">
        <v>9201048</v>
      </c>
      <c r="F15" s="70">
        <f>SUM(-F12+F25-F22)</f>
        <v>8373827.890000001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0</v>
      </c>
      <c r="U15" s="70">
        <v>0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</row>
    <row r="16" spans="1:26" ht="40.5" customHeight="1">
      <c r="A16" s="67" t="s">
        <v>99</v>
      </c>
      <c r="B16" s="68">
        <v>1342298</v>
      </c>
      <c r="C16" s="68">
        <v>4292903</v>
      </c>
      <c r="D16" s="68">
        <v>3134809</v>
      </c>
      <c r="E16" s="68">
        <v>1466212</v>
      </c>
      <c r="F16" s="68">
        <v>2632687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</row>
    <row r="17" spans="1:26" ht="25.5" customHeight="1">
      <c r="A17" s="67" t="s">
        <v>100</v>
      </c>
      <c r="B17" s="72">
        <v>0</v>
      </c>
      <c r="C17" s="72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2">
        <v>0</v>
      </c>
      <c r="V17" s="72">
        <v>0</v>
      </c>
      <c r="W17" s="72">
        <v>0</v>
      </c>
      <c r="X17" s="72">
        <v>0</v>
      </c>
      <c r="Y17" s="72">
        <v>0</v>
      </c>
      <c r="Z17" s="72">
        <v>0</v>
      </c>
    </row>
    <row r="18" spans="1:26" ht="37.5" customHeight="1">
      <c r="A18" s="67" t="s">
        <v>101</v>
      </c>
      <c r="B18" s="72">
        <v>0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  <c r="U18" s="72">
        <v>0</v>
      </c>
      <c r="V18" s="72">
        <v>0</v>
      </c>
      <c r="W18" s="72">
        <v>0</v>
      </c>
      <c r="X18" s="72">
        <v>0</v>
      </c>
      <c r="Y18" s="72">
        <v>0</v>
      </c>
      <c r="Z18" s="72">
        <v>0</v>
      </c>
    </row>
    <row r="19" spans="1:26" ht="23.25" customHeight="1">
      <c r="A19" s="67" t="s">
        <v>102</v>
      </c>
      <c r="B19" s="72">
        <v>0</v>
      </c>
      <c r="C19" s="72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72">
        <v>0</v>
      </c>
      <c r="U19" s="72">
        <v>0</v>
      </c>
      <c r="V19" s="72">
        <v>0</v>
      </c>
      <c r="W19" s="72">
        <v>0</v>
      </c>
      <c r="X19" s="72">
        <v>0</v>
      </c>
      <c r="Y19" s="72">
        <v>0</v>
      </c>
      <c r="Z19" s="72">
        <v>0</v>
      </c>
    </row>
    <row r="20" spans="1:26" ht="21.75" customHeight="1">
      <c r="A20" s="67" t="s">
        <v>103</v>
      </c>
      <c r="B20" s="72">
        <v>0</v>
      </c>
      <c r="C20" s="72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  <c r="U20" s="72">
        <v>0</v>
      </c>
      <c r="V20" s="72">
        <v>0</v>
      </c>
      <c r="W20" s="72">
        <v>0</v>
      </c>
      <c r="X20" s="72">
        <v>0</v>
      </c>
      <c r="Y20" s="72">
        <v>0</v>
      </c>
      <c r="Z20" s="72">
        <v>0</v>
      </c>
    </row>
    <row r="21" spans="1:26" ht="23.25" customHeight="1">
      <c r="A21" s="67" t="s">
        <v>104</v>
      </c>
      <c r="B21" s="72">
        <v>0</v>
      </c>
      <c r="C21" s="72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72">
        <v>0</v>
      </c>
      <c r="U21" s="72">
        <v>0</v>
      </c>
      <c r="V21" s="72">
        <v>0</v>
      </c>
      <c r="W21" s="72">
        <v>0</v>
      </c>
      <c r="X21" s="72">
        <v>0</v>
      </c>
      <c r="Y21" s="72">
        <v>0</v>
      </c>
      <c r="Z21" s="72">
        <v>0</v>
      </c>
    </row>
    <row r="22" spans="1:26" ht="23.25" customHeight="1">
      <c r="A22" s="67" t="s">
        <v>105</v>
      </c>
      <c r="B22" s="68">
        <v>2208400</v>
      </c>
      <c r="C22" s="68">
        <v>4448000</v>
      </c>
      <c r="D22" s="68">
        <v>3064970</v>
      </c>
      <c r="E22" s="68">
        <v>5882992</v>
      </c>
      <c r="F22" s="68">
        <f>2000000-908300+219440+639000</f>
        <v>1950140</v>
      </c>
      <c r="G22" s="68">
        <v>750000</v>
      </c>
      <c r="H22" s="68">
        <v>750000</v>
      </c>
      <c r="I22" s="68">
        <v>750000</v>
      </c>
      <c r="J22" s="68">
        <v>750000</v>
      </c>
      <c r="K22" s="68">
        <v>750000</v>
      </c>
      <c r="L22" s="68">
        <v>750000</v>
      </c>
      <c r="M22" s="68">
        <v>750000</v>
      </c>
      <c r="N22" s="68">
        <v>750000</v>
      </c>
      <c r="O22" s="68">
        <v>750000</v>
      </c>
      <c r="P22" s="68">
        <v>750000</v>
      </c>
      <c r="Q22" s="68">
        <v>750000</v>
      </c>
      <c r="R22" s="68">
        <v>750000</v>
      </c>
      <c r="S22" s="68">
        <v>750000</v>
      </c>
      <c r="T22" s="68">
        <v>750000</v>
      </c>
      <c r="U22" s="68">
        <v>750000</v>
      </c>
      <c r="V22" s="68">
        <v>750000</v>
      </c>
      <c r="W22" s="68">
        <v>750000</v>
      </c>
      <c r="X22" s="68">
        <v>750000</v>
      </c>
      <c r="Y22" s="68">
        <v>750000</v>
      </c>
      <c r="Z22" s="68">
        <v>750000</v>
      </c>
    </row>
    <row r="23" spans="1:26" ht="24.75" customHeight="1">
      <c r="A23" s="67" t="s">
        <v>106</v>
      </c>
      <c r="B23" s="72">
        <v>0</v>
      </c>
      <c r="C23" s="72">
        <v>0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  <c r="W23" s="72">
        <v>0</v>
      </c>
      <c r="X23" s="72">
        <v>0</v>
      </c>
      <c r="Y23" s="72">
        <v>0</v>
      </c>
      <c r="Z23" s="72">
        <v>0</v>
      </c>
    </row>
    <row r="24" spans="1:26" ht="20.25" customHeight="1">
      <c r="A24" s="65" t="s">
        <v>107</v>
      </c>
      <c r="B24" s="66">
        <f>B25+B27+B29+B30</f>
        <v>4216859</v>
      </c>
      <c r="C24" s="66">
        <f>C25+C27+C29+C30</f>
        <v>5932009.02</v>
      </c>
      <c r="D24" s="66">
        <f>D25+D27+D29+D30</f>
        <v>6476116.28</v>
      </c>
      <c r="E24" s="66">
        <f>E25+E27+E29+E30</f>
        <v>6701134</v>
      </c>
      <c r="F24" s="66">
        <f>F25+F27+F29+F30</f>
        <v>7281140.890000001</v>
      </c>
      <c r="G24" s="66">
        <f>G25+G27+G29+G30</f>
        <v>5854825.4345</v>
      </c>
      <c r="H24" s="66">
        <f>H25+H27+H29+H30</f>
        <v>5854826.2345</v>
      </c>
      <c r="I24" s="66">
        <f>I25+I27+I29+I30</f>
        <v>3452962.2345</v>
      </c>
      <c r="J24" s="66">
        <f>J25+J27+J29+J30</f>
        <v>3452962.2345</v>
      </c>
      <c r="K24" s="66">
        <f>K25+K27+K29+K30</f>
        <v>3452962.2345</v>
      </c>
      <c r="L24" s="66">
        <f>L25+L27+L29+L30</f>
        <v>3452962.2345</v>
      </c>
      <c r="M24" s="66">
        <f>M25+M27+M29+M30</f>
        <v>3452971.2345</v>
      </c>
      <c r="N24" s="66">
        <f>N25+N27+N29+N30</f>
        <v>2438018.1245</v>
      </c>
      <c r="O24" s="66">
        <f>O25+O27+O29+O30</f>
        <v>890539.3945</v>
      </c>
      <c r="P24" s="66">
        <f>P25+P27+P29+P30</f>
        <v>890539.3945</v>
      </c>
      <c r="Q24" s="66">
        <f>Q25+Q27+Q29+Q30</f>
        <v>890539.3945</v>
      </c>
      <c r="R24" s="66">
        <f>R25+R27+R29+R30</f>
        <v>890539.3945</v>
      </c>
      <c r="S24" s="66">
        <f>S25+S27+S29+S30</f>
        <v>890539.3945</v>
      </c>
      <c r="T24" s="66">
        <f>T25+T27+T29+T30</f>
        <v>890539.3945</v>
      </c>
      <c r="U24" s="66">
        <f>U25+U27+U29+U30</f>
        <v>890539.3945</v>
      </c>
      <c r="V24" s="66">
        <f>V25+V27+V29+V30</f>
        <v>890539.3945</v>
      </c>
      <c r="W24" s="66">
        <f>W25+W27+W29+W30</f>
        <v>890539.3945</v>
      </c>
      <c r="X24" s="66">
        <f>X25+X27+X29+X30</f>
        <v>890539.3945</v>
      </c>
      <c r="Y24" s="66">
        <f>Y25+Y27+Y29+Y30</f>
        <v>890551.3945</v>
      </c>
      <c r="Z24" s="66">
        <f>Z25+Z27+Z29+Z30</f>
        <v>418691.39450000005</v>
      </c>
    </row>
    <row r="25" spans="1:27" ht="25.5" customHeight="1">
      <c r="A25" s="67" t="s">
        <v>108</v>
      </c>
      <c r="B25" s="68">
        <v>4216859</v>
      </c>
      <c r="C25" s="68">
        <v>5932009.02</v>
      </c>
      <c r="D25" s="73">
        <f>SUM(D67:D69)</f>
        <v>6476116.28</v>
      </c>
      <c r="E25" s="73">
        <f>SUM(E67:E69)</f>
        <v>6701134</v>
      </c>
      <c r="F25" s="73">
        <f>SUM(F67:F69)</f>
        <v>7281140.890000001</v>
      </c>
      <c r="G25" s="73">
        <f>SUM(G67:G69)</f>
        <v>5854825.4345</v>
      </c>
      <c r="H25" s="73">
        <f>SUM(H67:H69)</f>
        <v>5854826.2345</v>
      </c>
      <c r="I25" s="73">
        <f>SUM(I67:I69)</f>
        <v>3452962.2345</v>
      </c>
      <c r="J25" s="73">
        <f>SUM(J67:J69)</f>
        <v>3452962.2345</v>
      </c>
      <c r="K25" s="73">
        <f>SUM(K67:K69)</f>
        <v>3452962.2345</v>
      </c>
      <c r="L25" s="73">
        <f>SUM(L67:L69)</f>
        <v>3452962.2345</v>
      </c>
      <c r="M25" s="73">
        <f>SUM(M67:M69)</f>
        <v>3452971.2345</v>
      </c>
      <c r="N25" s="73">
        <f>SUM(N67:N69)</f>
        <v>2438018.1245</v>
      </c>
      <c r="O25" s="73">
        <f>SUM(O67:O69)</f>
        <v>890539.3945</v>
      </c>
      <c r="P25" s="73">
        <f>SUM(P67:P69)</f>
        <v>890539.3945</v>
      </c>
      <c r="Q25" s="73">
        <f>SUM(Q67:Q69)</f>
        <v>890539.3945</v>
      </c>
      <c r="R25" s="73">
        <f>SUM(R67:R69)</f>
        <v>890539.3945</v>
      </c>
      <c r="S25" s="73">
        <f>SUM(S67:S69)</f>
        <v>890539.3945</v>
      </c>
      <c r="T25" s="73">
        <f>SUM(T67:T69)</f>
        <v>890539.3945</v>
      </c>
      <c r="U25" s="73">
        <f>SUM(U67:U69)</f>
        <v>890539.3945</v>
      </c>
      <c r="V25" s="73">
        <f>SUM(V67:V69)</f>
        <v>890539.3945</v>
      </c>
      <c r="W25" s="73">
        <f>SUM(W67:W69)</f>
        <v>890539.3945</v>
      </c>
      <c r="X25" s="73">
        <f>SUM(X67:X69)</f>
        <v>890539.3945</v>
      </c>
      <c r="Y25" s="73">
        <f>SUM(Y67:Y69)</f>
        <v>890551.3945</v>
      </c>
      <c r="Z25" s="73">
        <f>SUM(Z67:Z69)</f>
        <v>418691.39450000005</v>
      </c>
      <c r="AA25" s="74"/>
    </row>
    <row r="26" spans="1:28" ht="48" customHeight="1">
      <c r="A26" s="67" t="s">
        <v>109</v>
      </c>
      <c r="B26" s="68">
        <v>1443268</v>
      </c>
      <c r="C26" s="68">
        <v>1189634</v>
      </c>
      <c r="D26" s="70">
        <f>SUM(D74:D77)</f>
        <v>1661049</v>
      </c>
      <c r="E26" s="70">
        <f>SUM(E74:E77)</f>
        <v>1974529.9</v>
      </c>
      <c r="F26" s="70">
        <f>SUM(F74:F77)</f>
        <v>1245956.9</v>
      </c>
      <c r="G26" s="70">
        <f>SUM(G74:G77)</f>
        <v>1215435.25</v>
      </c>
      <c r="H26" s="70">
        <f>SUM(H74:H77)</f>
        <v>1215435.25</v>
      </c>
      <c r="I26" s="70">
        <f>SUM(I74:I77)</f>
        <v>991718.25</v>
      </c>
      <c r="J26" s="70">
        <f>SUM(J74:J77)</f>
        <v>991718.25</v>
      </c>
      <c r="K26" s="70">
        <f>SUM(K74:K77)</f>
        <v>991718.25</v>
      </c>
      <c r="L26" s="70">
        <f>SUM(L74:L77)</f>
        <v>991718.25</v>
      </c>
      <c r="M26" s="70">
        <f>SUM(M74:M77)</f>
        <v>991721.25</v>
      </c>
      <c r="N26" s="70">
        <f>SUM(N74:N77)</f>
        <v>520303.25</v>
      </c>
      <c r="O26" s="70">
        <f>SUM(O74:O77)</f>
        <v>206822.35</v>
      </c>
      <c r="P26" s="70">
        <f>SUM(P74:P77)</f>
        <v>206822.35</v>
      </c>
      <c r="Q26" s="70">
        <f>SUM(Q74:Q77)</f>
        <v>206822.35</v>
      </c>
      <c r="R26" s="70">
        <f>SUM(R74:R77)</f>
        <v>206822.35</v>
      </c>
      <c r="S26" s="70">
        <f>SUM(S74:S77)</f>
        <v>206822.35</v>
      </c>
      <c r="T26" s="70">
        <f>SUM(T74:T77)</f>
        <v>206822.35</v>
      </c>
      <c r="U26" s="70">
        <f>SUM(U74:U77)</f>
        <v>206822.35</v>
      </c>
      <c r="V26" s="70">
        <f>SUM(V74:V77)</f>
        <v>206822.35</v>
      </c>
      <c r="W26" s="70">
        <f>SUM(W74:W77)</f>
        <v>206822.35</v>
      </c>
      <c r="X26" s="70">
        <f>SUM(X74:X77)</f>
        <v>206822.35</v>
      </c>
      <c r="Y26" s="70">
        <f>SUM(Y74:Y77)</f>
        <v>206868.35</v>
      </c>
      <c r="Z26" s="70">
        <f>SUM(Z74:Z77)</f>
        <v>131634.35</v>
      </c>
      <c r="AB26" s="5"/>
    </row>
    <row r="27" spans="1:26" ht="20.25" customHeight="1">
      <c r="A27" s="67" t="s">
        <v>110</v>
      </c>
      <c r="B27" s="72">
        <v>0</v>
      </c>
      <c r="C27" s="72">
        <v>0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2">
        <v>0</v>
      </c>
      <c r="R27" s="72">
        <v>0</v>
      </c>
      <c r="S27" s="72">
        <v>0</v>
      </c>
      <c r="T27" s="72">
        <v>0</v>
      </c>
      <c r="U27" s="72">
        <v>0</v>
      </c>
      <c r="V27" s="72">
        <v>0</v>
      </c>
      <c r="W27" s="72">
        <v>0</v>
      </c>
      <c r="X27" s="72">
        <v>0</v>
      </c>
      <c r="Y27" s="72">
        <v>0</v>
      </c>
      <c r="Z27" s="72">
        <v>0</v>
      </c>
    </row>
    <row r="28" spans="1:26" ht="48" customHeight="1">
      <c r="A28" s="67" t="s">
        <v>111</v>
      </c>
      <c r="B28" s="72">
        <v>0</v>
      </c>
      <c r="C28" s="72">
        <v>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2">
        <v>0</v>
      </c>
      <c r="R28" s="72">
        <v>0</v>
      </c>
      <c r="S28" s="72">
        <v>0</v>
      </c>
      <c r="T28" s="72">
        <v>0</v>
      </c>
      <c r="U28" s="72">
        <v>0</v>
      </c>
      <c r="V28" s="72">
        <v>0</v>
      </c>
      <c r="W28" s="72">
        <v>0</v>
      </c>
      <c r="X28" s="72">
        <v>0</v>
      </c>
      <c r="Y28" s="72">
        <v>0</v>
      </c>
      <c r="Z28" s="72">
        <v>0</v>
      </c>
    </row>
    <row r="29" spans="1:26" ht="27" customHeight="1">
      <c r="A29" s="67" t="s">
        <v>112</v>
      </c>
      <c r="B29" s="72">
        <v>0</v>
      </c>
      <c r="C29" s="72">
        <v>0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2">
        <v>0</v>
      </c>
      <c r="R29" s="72">
        <v>0</v>
      </c>
      <c r="S29" s="72">
        <v>0</v>
      </c>
      <c r="T29" s="72">
        <v>0</v>
      </c>
      <c r="U29" s="72">
        <v>0</v>
      </c>
      <c r="V29" s="72">
        <v>0</v>
      </c>
      <c r="W29" s="72">
        <v>0</v>
      </c>
      <c r="X29" s="72">
        <v>0</v>
      </c>
      <c r="Y29" s="72">
        <v>0</v>
      </c>
      <c r="Z29" s="72">
        <v>0</v>
      </c>
    </row>
    <row r="30" spans="1:26" ht="12.75">
      <c r="A30" s="67" t="s">
        <v>113</v>
      </c>
      <c r="B30" s="72">
        <v>0</v>
      </c>
      <c r="C30" s="72">
        <v>0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v>0</v>
      </c>
      <c r="Q30" s="72">
        <v>0</v>
      </c>
      <c r="R30" s="72">
        <v>0</v>
      </c>
      <c r="S30" s="72">
        <v>0</v>
      </c>
      <c r="T30" s="72">
        <v>0</v>
      </c>
      <c r="U30" s="72">
        <v>0</v>
      </c>
      <c r="V30" s="72">
        <v>0</v>
      </c>
      <c r="W30" s="72">
        <v>0</v>
      </c>
      <c r="X30" s="72">
        <v>0</v>
      </c>
      <c r="Y30" s="72">
        <v>0</v>
      </c>
      <c r="Z30" s="72">
        <v>0</v>
      </c>
    </row>
    <row r="31" spans="1:28" ht="27" customHeight="1">
      <c r="A31" s="65" t="s">
        <v>114</v>
      </c>
      <c r="B31" s="72">
        <v>0</v>
      </c>
      <c r="C31" s="72">
        <v>0</v>
      </c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2">
        <v>0</v>
      </c>
      <c r="R31" s="72">
        <v>0</v>
      </c>
      <c r="S31" s="72">
        <v>0</v>
      </c>
      <c r="T31" s="72">
        <v>0</v>
      </c>
      <c r="U31" s="72">
        <v>0</v>
      </c>
      <c r="V31" s="72">
        <v>0</v>
      </c>
      <c r="W31" s="72">
        <v>0</v>
      </c>
      <c r="X31" s="72">
        <v>0</v>
      </c>
      <c r="Y31" s="72">
        <v>0</v>
      </c>
      <c r="Z31" s="72">
        <v>0</v>
      </c>
      <c r="AB31" t="s">
        <v>115</v>
      </c>
    </row>
    <row r="32" spans="1:26" ht="27" customHeight="1">
      <c r="A32" s="65" t="s">
        <v>116</v>
      </c>
      <c r="B32" s="75">
        <f>SUM(B33:B34)</f>
        <v>62867</v>
      </c>
      <c r="C32" s="75">
        <f>SUM(C33:C34)</f>
        <v>90829</v>
      </c>
      <c r="D32" s="75">
        <f>SUM(D33:D34)</f>
        <v>480000</v>
      </c>
      <c r="E32" s="75">
        <f>SUM(E33:E34)</f>
        <v>348000</v>
      </c>
      <c r="F32" s="75">
        <f>SUM(F33:F34)</f>
        <v>192000</v>
      </c>
      <c r="G32" s="75">
        <f>SUM(G33:G34)</f>
        <v>0</v>
      </c>
      <c r="H32" s="75">
        <f>SUM(H33:H34)</f>
        <v>0</v>
      </c>
      <c r="I32" s="75">
        <f>SUM(I33:I34)</f>
        <v>0</v>
      </c>
      <c r="J32" s="75">
        <f>SUM(J33:J34)</f>
        <v>0</v>
      </c>
      <c r="K32" s="75">
        <f>SUM(K33:K34)</f>
        <v>0</v>
      </c>
      <c r="L32" s="75">
        <f>SUM(L33:L34)</f>
        <v>0</v>
      </c>
      <c r="M32" s="75">
        <f>SUM(M33:M34)</f>
        <v>0</v>
      </c>
      <c r="N32" s="75">
        <f>SUM(N33:N34)</f>
        <v>0</v>
      </c>
      <c r="O32" s="75">
        <f>SUM(O33:O34)</f>
        <v>0</v>
      </c>
      <c r="P32" s="75">
        <f>SUM(P33:P34)</f>
        <v>0</v>
      </c>
      <c r="Q32" s="75">
        <f>SUM(Q33:Q34)</f>
        <v>0</v>
      </c>
      <c r="R32" s="75">
        <f>SUM(R33:R34)</f>
        <v>0</v>
      </c>
      <c r="S32" s="75">
        <f>SUM(S33:S34)</f>
        <v>0</v>
      </c>
      <c r="T32" s="75">
        <f>SUM(T33:T34)</f>
        <v>0</v>
      </c>
      <c r="U32" s="75">
        <f>SUM(U33:U34)</f>
        <v>0</v>
      </c>
      <c r="V32" s="75">
        <f>SUM(V33:V34)</f>
        <v>0</v>
      </c>
      <c r="W32" s="75">
        <f>SUM(W33:W34)</f>
        <v>0</v>
      </c>
      <c r="X32" s="75">
        <f>SUM(X33:X34)</f>
        <v>0</v>
      </c>
      <c r="Y32" s="75">
        <f>SUM(Y33:Y34)</f>
        <v>0</v>
      </c>
      <c r="Z32" s="75">
        <f>SUM(Z33:Z34)</f>
        <v>0</v>
      </c>
    </row>
    <row r="33" spans="1:26" ht="51.75" customHeight="1">
      <c r="A33" s="67" t="s">
        <v>117</v>
      </c>
      <c r="B33" s="68">
        <v>62867</v>
      </c>
      <c r="C33" s="68">
        <v>90829</v>
      </c>
      <c r="D33" s="68">
        <v>480000</v>
      </c>
      <c r="E33" s="68">
        <v>348000</v>
      </c>
      <c r="F33" s="68">
        <v>192000</v>
      </c>
      <c r="G33" s="68">
        <v>0</v>
      </c>
      <c r="H33" s="68">
        <v>0</v>
      </c>
      <c r="I33" s="68">
        <v>0</v>
      </c>
      <c r="J33" s="68">
        <v>0</v>
      </c>
      <c r="K33" s="68">
        <v>0</v>
      </c>
      <c r="L33" s="68">
        <v>0</v>
      </c>
      <c r="M33" s="72">
        <v>0</v>
      </c>
      <c r="N33" s="72">
        <v>0</v>
      </c>
      <c r="O33" s="72">
        <v>0</v>
      </c>
      <c r="P33" s="72">
        <v>0</v>
      </c>
      <c r="Q33" s="72">
        <v>0</v>
      </c>
      <c r="R33" s="72">
        <v>0</v>
      </c>
      <c r="S33" s="72">
        <v>0</v>
      </c>
      <c r="T33" s="72">
        <v>0</v>
      </c>
      <c r="U33" s="72">
        <v>0</v>
      </c>
      <c r="V33" s="72">
        <v>0</v>
      </c>
      <c r="W33" s="72">
        <v>0</v>
      </c>
      <c r="X33" s="72">
        <v>0</v>
      </c>
      <c r="Y33" s="72">
        <v>0</v>
      </c>
      <c r="Z33" s="72">
        <v>0</v>
      </c>
    </row>
    <row r="34" spans="1:26" ht="59.25" customHeight="1">
      <c r="A34" s="67" t="s">
        <v>118</v>
      </c>
      <c r="B34" s="72">
        <v>0</v>
      </c>
      <c r="C34" s="72">
        <v>0</v>
      </c>
      <c r="D34" s="72">
        <v>0</v>
      </c>
      <c r="E34" s="72">
        <v>0</v>
      </c>
      <c r="F34" s="72">
        <v>0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  <c r="L34" s="72">
        <v>0</v>
      </c>
      <c r="M34" s="72">
        <v>0</v>
      </c>
      <c r="N34" s="72">
        <v>0</v>
      </c>
      <c r="O34" s="72">
        <v>0</v>
      </c>
      <c r="P34" s="72">
        <v>0</v>
      </c>
      <c r="Q34" s="72">
        <v>0</v>
      </c>
      <c r="R34" s="72">
        <v>0</v>
      </c>
      <c r="S34" s="72">
        <v>0</v>
      </c>
      <c r="T34" s="72">
        <v>0</v>
      </c>
      <c r="U34" s="72">
        <v>0</v>
      </c>
      <c r="V34" s="72">
        <v>0</v>
      </c>
      <c r="W34" s="72">
        <v>0</v>
      </c>
      <c r="X34" s="72">
        <v>0</v>
      </c>
      <c r="Y34" s="72">
        <v>0</v>
      </c>
      <c r="Z34" s="72">
        <v>0</v>
      </c>
    </row>
    <row r="35" spans="1:26" ht="46.5" customHeight="1">
      <c r="A35" s="65" t="s">
        <v>119</v>
      </c>
      <c r="B35" s="66">
        <f>B36+B37+B38+B39+B40+B41</f>
        <v>3625932</v>
      </c>
      <c r="C35" s="66">
        <f>C36+C37+C38+C39+C40+C41</f>
        <v>5907978.02</v>
      </c>
      <c r="D35" s="66">
        <f>D36+D37+D38+D39+D40+D41</f>
        <v>6546491.87</v>
      </c>
      <c r="E35" s="66">
        <f>E36+E37+E38+E39+E40+E41</f>
        <v>7074604.1</v>
      </c>
      <c r="F35" s="66">
        <f>F36+F37+F38+F39+F40+F41</f>
        <v>8427183.99</v>
      </c>
      <c r="G35" s="66">
        <f>G36+G37+G38+G39+G40+G41</f>
        <v>6785728.260430001</v>
      </c>
      <c r="H35" s="66">
        <f>H36+H37+H38+H39+H40+H41</f>
        <v>6434439.48636</v>
      </c>
      <c r="I35" s="66">
        <f>I36+I37+I38+I39+I40+I41</f>
        <v>4049114.75229</v>
      </c>
      <c r="J35" s="66">
        <f>J36+J37+J38+J39+J40+J41</f>
        <v>3841937.01822</v>
      </c>
      <c r="K35" s="66">
        <f>K36+K37+K38+K39+K40+K41</f>
        <v>3634759.28415</v>
      </c>
      <c r="L35" s="66">
        <f>L36+L37+L38+L39+L40+L41</f>
        <v>3427581.5500800004</v>
      </c>
      <c r="M35" s="66">
        <f>M36+M37+M38+M39+M40+M41</f>
        <v>3220409.27601</v>
      </c>
      <c r="N35" s="66">
        <f>N36+N37+N38+N39+N40+N41</f>
        <v>2530593.07854</v>
      </c>
      <c r="O35" s="66">
        <f>O36+O37+O38+O39+O40+O41</f>
        <v>1243162.8848700006</v>
      </c>
      <c r="P35" s="66">
        <f>P36+P37+P38+P39+P40+P41</f>
        <v>1189730.5212000005</v>
      </c>
      <c r="Q35" s="66">
        <f>Q36+Q37+Q38+Q39+Q40+Q41</f>
        <v>1136298.1575300004</v>
      </c>
      <c r="R35" s="66">
        <f>R36+R37+R38+R39+R40+R41</f>
        <v>1082865.7938600006</v>
      </c>
      <c r="S35" s="66">
        <f>S36+S37+S38+S39+S40+S41</f>
        <v>1029433.4301900005</v>
      </c>
      <c r="T35" s="66">
        <f>T36+T37+T38+T39+T40+T41</f>
        <v>976001.0665200005</v>
      </c>
      <c r="U35" s="66">
        <f>U36+U37+U38+U39+U40+U41</f>
        <v>922568.7028500005</v>
      </c>
      <c r="V35" s="66">
        <f>V36+V37+V38+V39+V40+V41</f>
        <v>869136.3391800005</v>
      </c>
      <c r="W35" s="66">
        <f>W36+W37+W38+W39+W40+W41</f>
        <v>815703.9755100005</v>
      </c>
      <c r="X35" s="66">
        <f>X36+X37+X38+X39+X40+X41</f>
        <v>762271.6118400005</v>
      </c>
      <c r="Y35" s="66">
        <f>Y36+Y37+Y38+Y39+Y40+Y41</f>
        <v>708804.5281700004</v>
      </c>
      <c r="Z35" s="66">
        <f>Z36+Z37+Z38+Z39+Z40+Z41</f>
        <v>287057.0445000001</v>
      </c>
    </row>
    <row r="36" spans="1:26" ht="27" customHeight="1">
      <c r="A36" s="67" t="s">
        <v>120</v>
      </c>
      <c r="B36" s="66">
        <f>B25-B26</f>
        <v>2773591</v>
      </c>
      <c r="C36" s="66">
        <f>C25-C26</f>
        <v>4742375.02</v>
      </c>
      <c r="D36" s="66">
        <f>D25-D26</f>
        <v>4815067.28</v>
      </c>
      <c r="E36" s="66">
        <f>E25-E26</f>
        <v>4726604.1</v>
      </c>
      <c r="F36" s="66">
        <f>F25-F26</f>
        <v>6035183.99</v>
      </c>
      <c r="G36" s="66">
        <f>G25-G26</f>
        <v>4639390.1845</v>
      </c>
      <c r="H36" s="66">
        <f>H25-H26</f>
        <v>4639390.9845</v>
      </c>
      <c r="I36" s="66">
        <f>I25-I26</f>
        <v>2461243.9845</v>
      </c>
      <c r="J36" s="66">
        <f>J25-J26</f>
        <v>2461243.9845</v>
      </c>
      <c r="K36" s="66">
        <f>K25-K26</f>
        <v>2461243.9845</v>
      </c>
      <c r="L36" s="66">
        <f>L25-L26</f>
        <v>2461243.9845</v>
      </c>
      <c r="M36" s="66">
        <f>M25-M26</f>
        <v>2461249.9845</v>
      </c>
      <c r="N36" s="66">
        <f>N25-N26</f>
        <v>1917714.8745</v>
      </c>
      <c r="O36" s="66">
        <f>O25-O26</f>
        <v>683717.0445000001</v>
      </c>
      <c r="P36" s="66">
        <f>P25-P26</f>
        <v>683717.0445000001</v>
      </c>
      <c r="Q36" s="66">
        <f>Q25-Q26</f>
        <v>683717.0445000001</v>
      </c>
      <c r="R36" s="66">
        <f>R25-R26</f>
        <v>683717.0445000001</v>
      </c>
      <c r="S36" s="66">
        <f>S25-S26</f>
        <v>683717.0445000001</v>
      </c>
      <c r="T36" s="66">
        <f>T25-T26</f>
        <v>683717.0445000001</v>
      </c>
      <c r="U36" s="66">
        <f>U25-U26</f>
        <v>683717.0445000001</v>
      </c>
      <c r="V36" s="66">
        <f>V25-V26</f>
        <v>683717.0445000001</v>
      </c>
      <c r="W36" s="66">
        <f>W25-W26</f>
        <v>683717.0445000001</v>
      </c>
      <c r="X36" s="66">
        <f>X25-X26</f>
        <v>683717.0445000001</v>
      </c>
      <c r="Y36" s="66">
        <f>Y25-Y26</f>
        <v>683683.0445000001</v>
      </c>
      <c r="Z36" s="66">
        <f>Z25-Z26</f>
        <v>287057.0445000001</v>
      </c>
    </row>
    <row r="37" spans="1:26" ht="27" customHeight="1">
      <c r="A37" s="67" t="s">
        <v>121</v>
      </c>
      <c r="B37" s="68">
        <v>789474</v>
      </c>
      <c r="C37" s="68">
        <v>1074774</v>
      </c>
      <c r="D37" s="68">
        <v>1251424.59</v>
      </c>
      <c r="E37" s="68">
        <v>2000000</v>
      </c>
      <c r="F37" s="68">
        <v>2200000</v>
      </c>
      <c r="G37" s="70">
        <f>SUM(G43*0.06)</f>
        <v>2146338.07593</v>
      </c>
      <c r="H37" s="70">
        <f>SUM(H43*0.06)</f>
        <v>1795048.5018600002</v>
      </c>
      <c r="I37" s="70">
        <f>SUM(I43*0.06)</f>
        <v>1587870.7677900002</v>
      </c>
      <c r="J37" s="70">
        <f>SUM(J43*0.06)</f>
        <v>1380693.0337200004</v>
      </c>
      <c r="K37" s="70">
        <f>SUM(K43*0.06)</f>
        <v>1173515.2996500004</v>
      </c>
      <c r="L37" s="70">
        <f>SUM(L43*0.06)</f>
        <v>966337.5655800004</v>
      </c>
      <c r="M37" s="70">
        <f>SUM(M43*0.06)</f>
        <v>759159.2915100005</v>
      </c>
      <c r="N37" s="70">
        <f>SUM(N43*0.06)</f>
        <v>612878.2040400004</v>
      </c>
      <c r="O37" s="70">
        <f>SUM(O43*0.06)</f>
        <v>559445.8403700005</v>
      </c>
      <c r="P37" s="70">
        <f>SUM(P43*0.06)</f>
        <v>506013.47670000046</v>
      </c>
      <c r="Q37" s="70">
        <f>SUM(Q43*0.06)</f>
        <v>452581.1130300004</v>
      </c>
      <c r="R37" s="70">
        <f>SUM(R43*0.06)</f>
        <v>399148.7493600004</v>
      </c>
      <c r="S37" s="70">
        <f>SUM(S43*0.06)</f>
        <v>345716.3856900004</v>
      </c>
      <c r="T37" s="70">
        <f>SUM(T43*0.06)</f>
        <v>292284.0220200004</v>
      </c>
      <c r="U37" s="70">
        <f>SUM(U43*0.06)</f>
        <v>238851.65835000036</v>
      </c>
      <c r="V37" s="70">
        <f>SUM(V43*0.06)</f>
        <v>185419.29468000037</v>
      </c>
      <c r="W37" s="70">
        <f>SUM(W43*0.06)</f>
        <v>131986.93101000038</v>
      </c>
      <c r="X37" s="70">
        <f>SUM(X43*0.06)</f>
        <v>78554.56734000039</v>
      </c>
      <c r="Y37" s="70">
        <f>SUM(Y43*0.06)</f>
        <v>25121.48367000038</v>
      </c>
      <c r="Z37" s="70">
        <f>SUM(Z43*0.06)</f>
        <v>0</v>
      </c>
    </row>
    <row r="38" spans="1:26" ht="27" customHeight="1">
      <c r="A38" s="67" t="s">
        <v>122</v>
      </c>
      <c r="B38" s="66">
        <f>B27-B28</f>
        <v>0</v>
      </c>
      <c r="C38" s="66">
        <f>C27-C28</f>
        <v>0</v>
      </c>
      <c r="D38" s="66">
        <f>D27-D28</f>
        <v>0</v>
      </c>
      <c r="E38" s="66">
        <f>E27-E28</f>
        <v>0</v>
      </c>
      <c r="F38" s="66">
        <f>F27-F28</f>
        <v>0</v>
      </c>
      <c r="G38" s="66">
        <f>G27-G28</f>
        <v>0</v>
      </c>
      <c r="H38" s="66">
        <f>H27-H28</f>
        <v>0</v>
      </c>
      <c r="I38" s="66">
        <f>I27-I28</f>
        <v>0</v>
      </c>
      <c r="J38" s="66">
        <f>J27-J28</f>
        <v>0</v>
      </c>
      <c r="K38" s="66">
        <f>K27-K28</f>
        <v>0</v>
      </c>
      <c r="L38" s="66">
        <f>L27-L28</f>
        <v>0</v>
      </c>
      <c r="M38" s="66">
        <f>M27-M28</f>
        <v>0</v>
      </c>
      <c r="N38" s="66">
        <f>N27-N28</f>
        <v>0</v>
      </c>
      <c r="O38" s="66">
        <f>O27-O28</f>
        <v>0</v>
      </c>
      <c r="P38" s="66">
        <f>P27-P28</f>
        <v>0</v>
      </c>
      <c r="Q38" s="66">
        <f>Q27-Q28</f>
        <v>0</v>
      </c>
      <c r="R38" s="66">
        <f>R27-R28</f>
        <v>0</v>
      </c>
      <c r="S38" s="66">
        <f>S27-S28</f>
        <v>0</v>
      </c>
      <c r="T38" s="66">
        <f>T27-T28</f>
        <v>0</v>
      </c>
      <c r="U38" s="66">
        <f>U27-U28</f>
        <v>0</v>
      </c>
      <c r="V38" s="66">
        <f>V27-V28</f>
        <v>0</v>
      </c>
      <c r="W38" s="66">
        <f>W27-W28</f>
        <v>0</v>
      </c>
      <c r="X38" s="66">
        <f>X27-X28</f>
        <v>0</v>
      </c>
      <c r="Y38" s="66">
        <f>Y27-Y28</f>
        <v>0</v>
      </c>
      <c r="Z38" s="66">
        <f>Z27-Z28</f>
        <v>0</v>
      </c>
    </row>
    <row r="39" spans="1:26" ht="27" customHeight="1">
      <c r="A39" s="67" t="s">
        <v>123</v>
      </c>
      <c r="B39" s="68">
        <v>0</v>
      </c>
      <c r="C39" s="68">
        <v>0</v>
      </c>
      <c r="D39" s="68">
        <v>0</v>
      </c>
      <c r="E39" s="68">
        <v>0</v>
      </c>
      <c r="F39" s="68">
        <v>0</v>
      </c>
      <c r="G39" s="68">
        <v>0</v>
      </c>
      <c r="H39" s="68">
        <v>0</v>
      </c>
      <c r="I39" s="68">
        <v>0</v>
      </c>
      <c r="J39" s="68">
        <v>0</v>
      </c>
      <c r="K39" s="68">
        <v>0</v>
      </c>
      <c r="L39" s="68">
        <v>0</v>
      </c>
      <c r="M39" s="68">
        <v>0</v>
      </c>
      <c r="N39" s="68">
        <v>0</v>
      </c>
      <c r="O39" s="68">
        <v>0</v>
      </c>
      <c r="P39" s="68">
        <v>0</v>
      </c>
      <c r="Q39" s="68">
        <v>0</v>
      </c>
      <c r="R39" s="68">
        <v>0</v>
      </c>
      <c r="S39" s="68">
        <v>0</v>
      </c>
      <c r="T39" s="68">
        <v>0</v>
      </c>
      <c r="U39" s="68">
        <v>0</v>
      </c>
      <c r="V39" s="68">
        <v>0</v>
      </c>
      <c r="W39" s="68">
        <v>0</v>
      </c>
      <c r="X39" s="68">
        <v>0</v>
      </c>
      <c r="Y39" s="68">
        <v>0</v>
      </c>
      <c r="Z39" s="68">
        <v>0</v>
      </c>
    </row>
    <row r="40" spans="1:26" ht="60" customHeight="1">
      <c r="A40" s="67" t="s">
        <v>124</v>
      </c>
      <c r="B40" s="66">
        <f>B33-B34</f>
        <v>62867</v>
      </c>
      <c r="C40" s="66">
        <f>C33-C34</f>
        <v>90829</v>
      </c>
      <c r="D40" s="66">
        <f>D33-D34</f>
        <v>480000</v>
      </c>
      <c r="E40" s="66">
        <f>E33-E34</f>
        <v>348000</v>
      </c>
      <c r="F40" s="66">
        <f>F33-F34</f>
        <v>192000</v>
      </c>
      <c r="G40" s="66">
        <f>G33-G34</f>
        <v>0</v>
      </c>
      <c r="H40" s="66">
        <f>H33-H34</f>
        <v>0</v>
      </c>
      <c r="I40" s="66">
        <f>I33-I34</f>
        <v>0</v>
      </c>
      <c r="J40" s="66">
        <f>J33-J34</f>
        <v>0</v>
      </c>
      <c r="K40" s="66">
        <f>K33-K34</f>
        <v>0</v>
      </c>
      <c r="L40" s="66">
        <f>L33-L34</f>
        <v>0</v>
      </c>
      <c r="M40" s="66">
        <f>M33-M34</f>
        <v>0</v>
      </c>
      <c r="N40" s="66">
        <f>N33-N34</f>
        <v>0</v>
      </c>
      <c r="O40" s="66">
        <f>O33-O34</f>
        <v>0</v>
      </c>
      <c r="P40" s="66">
        <f>P33-P34</f>
        <v>0</v>
      </c>
      <c r="Q40" s="66">
        <f>Q33-Q34</f>
        <v>0</v>
      </c>
      <c r="R40" s="66">
        <f>R33-R34</f>
        <v>0</v>
      </c>
      <c r="S40" s="66">
        <f>S33-S34</f>
        <v>0</v>
      </c>
      <c r="T40" s="66">
        <f>T33-T34</f>
        <v>0</v>
      </c>
      <c r="U40" s="66">
        <f>U33-U34</f>
        <v>0</v>
      </c>
      <c r="V40" s="66">
        <f>V33-V34</f>
        <v>0</v>
      </c>
      <c r="W40" s="66">
        <f>W33-W34</f>
        <v>0</v>
      </c>
      <c r="X40" s="66">
        <f>X33-X34</f>
        <v>0</v>
      </c>
      <c r="Y40" s="66">
        <f>Y33-Y34</f>
        <v>0</v>
      </c>
      <c r="Z40" s="66">
        <f>Z33-Z34</f>
        <v>0</v>
      </c>
    </row>
    <row r="41" spans="1:26" ht="48" customHeight="1">
      <c r="A41" s="67" t="s">
        <v>125</v>
      </c>
      <c r="B41" s="72">
        <v>0</v>
      </c>
      <c r="C41" s="72">
        <v>0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72">
        <v>0</v>
      </c>
      <c r="Q41" s="72">
        <v>0</v>
      </c>
      <c r="R41" s="72">
        <v>0</v>
      </c>
      <c r="S41" s="72">
        <v>0</v>
      </c>
      <c r="T41" s="72">
        <v>0</v>
      </c>
      <c r="U41" s="72">
        <v>0</v>
      </c>
      <c r="V41" s="72">
        <v>0</v>
      </c>
      <c r="W41" s="72">
        <v>0</v>
      </c>
      <c r="X41" s="72">
        <v>0</v>
      </c>
      <c r="Y41" s="72">
        <v>0</v>
      </c>
      <c r="Z41" s="72">
        <v>0</v>
      </c>
    </row>
    <row r="42" spans="1:26" ht="27" customHeight="1">
      <c r="A42" s="65" t="s">
        <v>126</v>
      </c>
      <c r="B42" s="76">
        <f>B35/B5</f>
        <v>0.06405910593329357</v>
      </c>
      <c r="C42" s="76">
        <f>C35/C5</f>
        <v>0.0900078679479114</v>
      </c>
      <c r="D42" s="76">
        <f>D35/D5</f>
        <v>0.086062524227661</v>
      </c>
      <c r="E42" s="76">
        <f>E35/E5</f>
        <v>0.08061472115718725</v>
      </c>
      <c r="F42" s="77">
        <f>F35/F5</f>
        <v>0.1051869566527987</v>
      </c>
      <c r="G42" s="77">
        <f>G35/G5</f>
        <v>0.10063713064439277</v>
      </c>
      <c r="H42" s="77">
        <f>H35/H5</f>
        <v>0.09934968199411429</v>
      </c>
      <c r="I42" s="77">
        <f>I35/I5</f>
        <v>0.060643025434501244</v>
      </c>
      <c r="J42" s="77">
        <f>J35/J5</f>
        <v>0.0558130824879704</v>
      </c>
      <c r="K42" s="77">
        <f>K35/K5</f>
        <v>0.05121844549073544</v>
      </c>
      <c r="L42" s="77">
        <f>L35/L5</f>
        <v>0.04684934081539965</v>
      </c>
      <c r="M42" s="77">
        <f>M35/M5</f>
        <v>0.04269644191933025</v>
      </c>
      <c r="N42" s="77">
        <f>N35/N5</f>
        <v>0.0325437682112259</v>
      </c>
      <c r="O42" s="76">
        <f>O35/O5</f>
        <v>0.01550738047339482</v>
      </c>
      <c r="P42" s="76">
        <f>P35/P5</f>
        <v>0.014395404506924678</v>
      </c>
      <c r="Q42" s="76">
        <f>Q35/Q5</f>
        <v>0.01333620964185584</v>
      </c>
      <c r="R42" s="76">
        <f>R35/R5</f>
        <v>0.012327629305542383</v>
      </c>
      <c r="S42" s="76">
        <f>S35/S5</f>
        <v>0.011367579428427725</v>
      </c>
      <c r="T42" s="76">
        <f>T35/T5</f>
        <v>0.010454055443511065</v>
      </c>
      <c r="U42" s="76">
        <f>U35/U5</f>
        <v>0.009585129391598207</v>
      </c>
      <c r="V42" s="76">
        <f>V35/V5</f>
        <v>0.008758947128690131</v>
      </c>
      <c r="W42" s="76">
        <f>W35/W5</f>
        <v>0.007973725631986256</v>
      </c>
      <c r="X42" s="76">
        <f>X35/X5</f>
        <v>0.007227750401098782</v>
      </c>
      <c r="Y42" s="76">
        <f>Y35/Y5</f>
        <v>0.006519053622612379</v>
      </c>
      <c r="Z42" s="76">
        <f>Z35/Z5</f>
        <v>0.0025608900191435436</v>
      </c>
    </row>
    <row r="43" spans="1:26" ht="39" customHeight="1">
      <c r="A43" s="65" t="s">
        <v>127</v>
      </c>
      <c r="B43" s="66">
        <f>B44+B46+B48+B49</f>
        <v>24155833</v>
      </c>
      <c r="C43" s="66">
        <f>C44+C46+C48+C49</f>
        <v>28648983.98</v>
      </c>
      <c r="D43" s="66">
        <f>D44+D46+D48+D49</f>
        <v>38034525.7</v>
      </c>
      <c r="E43" s="66">
        <f>E44+E46+E48+E49</f>
        <v>40534439.7</v>
      </c>
      <c r="F43" s="78">
        <f>F44+F46+F48+F49</f>
        <v>41627126.7</v>
      </c>
      <c r="G43" s="78">
        <f>G44+G46+G48+G49</f>
        <v>35772301.2655</v>
      </c>
      <c r="H43" s="78">
        <f>H44+H46+H48+H49</f>
        <v>29917475.031000003</v>
      </c>
      <c r="I43" s="78">
        <f>I44+I46+I48+I49</f>
        <v>26464512.796500005</v>
      </c>
      <c r="J43" s="78">
        <f>J44+J46+J48+J49</f>
        <v>23011550.562000006</v>
      </c>
      <c r="K43" s="78">
        <f>K44+K46+K48+K49</f>
        <v>19558588.327500008</v>
      </c>
      <c r="L43" s="78">
        <f>L44+L46+L48+L49</f>
        <v>16105626.093000008</v>
      </c>
      <c r="M43" s="78">
        <f>M44+M46+M48+M49</f>
        <v>12652654.858500008</v>
      </c>
      <c r="N43" s="78">
        <f>N44+N46+N48+N49</f>
        <v>10214636.734000009</v>
      </c>
      <c r="O43" s="66">
        <f>O44+O46+O48+O49</f>
        <v>9324097.339500008</v>
      </c>
      <c r="P43" s="66">
        <f>P44+P46+P48+P49</f>
        <v>8433557.945000008</v>
      </c>
      <c r="Q43" s="66">
        <f>Q44+Q46+Q48+Q49</f>
        <v>7543018.550500007</v>
      </c>
      <c r="R43" s="66">
        <f>R44+R46+R48+R49</f>
        <v>6652479.156000007</v>
      </c>
      <c r="S43" s="66">
        <f>S44+S46+S48+S49</f>
        <v>5761939.761500007</v>
      </c>
      <c r="T43" s="66">
        <f>T44+T46+T48+T49</f>
        <v>4871400.367000006</v>
      </c>
      <c r="U43" s="66">
        <f>U44+U46+U48+U49</f>
        <v>3980860.972500006</v>
      </c>
      <c r="V43" s="66">
        <f>V44+V46+V48+V49</f>
        <v>3090321.5780000063</v>
      </c>
      <c r="W43" s="66">
        <f>W44+W46+W48+W49</f>
        <v>2199782.1835000063</v>
      </c>
      <c r="X43" s="66">
        <f>X44+X46+X48+X49</f>
        <v>1309242.7890000064</v>
      </c>
      <c r="Y43" s="66">
        <f>Y44+Y46+Y48+Y49</f>
        <v>418691.39450000634</v>
      </c>
      <c r="Z43" s="66">
        <f>Z44+Z46+Z48+Z49</f>
        <v>0</v>
      </c>
    </row>
    <row r="44" spans="1:26" ht="27" customHeight="1">
      <c r="A44" s="67" t="s">
        <v>128</v>
      </c>
      <c r="B44" s="79">
        <v>0</v>
      </c>
      <c r="C44" s="80">
        <f>B44+C17-C27</f>
        <v>0</v>
      </c>
      <c r="D44" s="80">
        <f>C44+D17-D27</f>
        <v>0</v>
      </c>
      <c r="E44" s="80">
        <f>D44+E17-E27</f>
        <v>0</v>
      </c>
      <c r="F44" s="80">
        <f>E44+F17-F27</f>
        <v>0</v>
      </c>
      <c r="G44" s="80">
        <f>F44+G17-G27</f>
        <v>0</v>
      </c>
      <c r="H44" s="80">
        <f>G44+H17-H27</f>
        <v>0</v>
      </c>
      <c r="I44" s="80">
        <f>H44+I17-I27</f>
        <v>0</v>
      </c>
      <c r="J44" s="80">
        <f>I44+J17-J27</f>
        <v>0</v>
      </c>
      <c r="K44" s="80">
        <f>J44+K17-K27</f>
        <v>0</v>
      </c>
      <c r="L44" s="80">
        <f>K44+L17-L27</f>
        <v>0</v>
      </c>
      <c r="M44" s="80">
        <f>L44+M17-M27</f>
        <v>0</v>
      </c>
      <c r="N44" s="80">
        <f>M44+N17-N27</f>
        <v>0</v>
      </c>
      <c r="O44" s="80">
        <f>N44+O17-O27</f>
        <v>0</v>
      </c>
      <c r="P44" s="80">
        <f>O44+P17-P27</f>
        <v>0</v>
      </c>
      <c r="Q44" s="80">
        <f>P44+Q17-Q27</f>
        <v>0</v>
      </c>
      <c r="R44" s="80">
        <f>Q44+R17-R27</f>
        <v>0</v>
      </c>
      <c r="S44" s="80">
        <f>R44+S17-S27</f>
        <v>0</v>
      </c>
      <c r="T44" s="80">
        <f>S44+T17-T27</f>
        <v>0</v>
      </c>
      <c r="U44" s="80">
        <f>T44+U17-U27</f>
        <v>0</v>
      </c>
      <c r="V44" s="80">
        <f>U44+V17-V27</f>
        <v>0</v>
      </c>
      <c r="W44" s="80">
        <f>V44+W17-W27</f>
        <v>0</v>
      </c>
      <c r="X44" s="80">
        <f>W44+X17-X27</f>
        <v>0</v>
      </c>
      <c r="Y44" s="80">
        <f>X44+Y17-Y27</f>
        <v>0</v>
      </c>
      <c r="Z44" s="80">
        <f>Y44+Z17-Z27</f>
        <v>0</v>
      </c>
    </row>
    <row r="45" spans="1:26" ht="48" customHeight="1">
      <c r="A45" s="67" t="s">
        <v>129</v>
      </c>
      <c r="B45" s="79">
        <v>0</v>
      </c>
      <c r="C45" s="80">
        <f>B45+C18-C28</f>
        <v>0</v>
      </c>
      <c r="D45" s="80">
        <f>C45+D18-D28</f>
        <v>0</v>
      </c>
      <c r="E45" s="80">
        <f>D45+E18-E28</f>
        <v>0</v>
      </c>
      <c r="F45" s="80">
        <f>E45+F18-F28</f>
        <v>0</v>
      </c>
      <c r="G45" s="80">
        <f>F45+G18-G28</f>
        <v>0</v>
      </c>
      <c r="H45" s="80">
        <f>G45+H18-H28</f>
        <v>0</v>
      </c>
      <c r="I45" s="80">
        <f>H45+I18-I28</f>
        <v>0</v>
      </c>
      <c r="J45" s="80">
        <f>I45+J18-J28</f>
        <v>0</v>
      </c>
      <c r="K45" s="80">
        <f>J45+K18-K28</f>
        <v>0</v>
      </c>
      <c r="L45" s="80">
        <f>K45+L18-L28</f>
        <v>0</v>
      </c>
      <c r="M45" s="80">
        <f>L45+M18-M28</f>
        <v>0</v>
      </c>
      <c r="N45" s="80">
        <f>M45+N18-N28</f>
        <v>0</v>
      </c>
      <c r="O45" s="80">
        <f>N45+O18-O28</f>
        <v>0</v>
      </c>
      <c r="P45" s="80">
        <f>O45+P18-P28</f>
        <v>0</v>
      </c>
      <c r="Q45" s="80">
        <f>P45+Q18-Q28</f>
        <v>0</v>
      </c>
      <c r="R45" s="80">
        <f>Q45+R18-R28</f>
        <v>0</v>
      </c>
      <c r="S45" s="80">
        <f>R45+S18-S28</f>
        <v>0</v>
      </c>
      <c r="T45" s="80">
        <f>S45+T18-T28</f>
        <v>0</v>
      </c>
      <c r="U45" s="80">
        <f>T45+U18-U28</f>
        <v>0</v>
      </c>
      <c r="V45" s="80">
        <f>U45+V18-V28</f>
        <v>0</v>
      </c>
      <c r="W45" s="80">
        <f>V45+W18-W28</f>
        <v>0</v>
      </c>
      <c r="X45" s="80">
        <f>W45+X18-X28</f>
        <v>0</v>
      </c>
      <c r="Y45" s="80">
        <f>X45+Y18-Y28</f>
        <v>0</v>
      </c>
      <c r="Z45" s="80">
        <f>Y45+Z18-Z28</f>
        <v>0</v>
      </c>
    </row>
    <row r="46" spans="1:26" ht="27" customHeight="1">
      <c r="A46" s="67" t="s">
        <v>130</v>
      </c>
      <c r="B46" s="79">
        <v>24155833</v>
      </c>
      <c r="C46" s="80">
        <f>B46+C15-C25-C31</f>
        <v>28648983.98</v>
      </c>
      <c r="D46" s="80">
        <f>C46+D15-D25-D31</f>
        <v>38034525.7</v>
      </c>
      <c r="E46" s="80">
        <f>D46+E15-E25-E31</f>
        <v>40534439.7</v>
      </c>
      <c r="F46" s="80">
        <f>E46+F15-F25-F31</f>
        <v>41627126.7</v>
      </c>
      <c r="G46" s="80">
        <f>F46+G15-G25-G31</f>
        <v>35772301.2655</v>
      </c>
      <c r="H46" s="80">
        <f>G46+H15-H25-H31</f>
        <v>29917475.031000003</v>
      </c>
      <c r="I46" s="80">
        <f>H46+I15-I25-I31</f>
        <v>26464512.796500005</v>
      </c>
      <c r="J46" s="80">
        <f>I46+J15-J25-J31</f>
        <v>23011550.562000006</v>
      </c>
      <c r="K46" s="80">
        <f>J46+K15-K25-K31</f>
        <v>19558588.327500008</v>
      </c>
      <c r="L46" s="80">
        <f>K46+L15-L25-L31</f>
        <v>16105626.093000008</v>
      </c>
      <c r="M46" s="80">
        <f>L46+M15-M25-M31</f>
        <v>12652654.858500008</v>
      </c>
      <c r="N46" s="80">
        <f>M46+N15-N25-N31</f>
        <v>10214636.734000009</v>
      </c>
      <c r="O46" s="80">
        <f>N46+O15-O25-O31</f>
        <v>9324097.339500008</v>
      </c>
      <c r="P46" s="80">
        <f>O46+P15-P25-P31</f>
        <v>8433557.945000008</v>
      </c>
      <c r="Q46" s="80">
        <f>P46+Q15-Q25-Q31</f>
        <v>7543018.550500007</v>
      </c>
      <c r="R46" s="80">
        <f>Q46+R15-R25-R31</f>
        <v>6652479.156000007</v>
      </c>
      <c r="S46" s="80">
        <f>R46+S15-S25-S31</f>
        <v>5761939.761500007</v>
      </c>
      <c r="T46" s="80">
        <f>S46+T15-T25-T31</f>
        <v>4871400.367000006</v>
      </c>
      <c r="U46" s="80">
        <f>T46+U15-U25-U31</f>
        <v>3980860.972500006</v>
      </c>
      <c r="V46" s="80">
        <f>U46+V15-V25-V31</f>
        <v>3090321.5780000063</v>
      </c>
      <c r="W46" s="80">
        <f>V46+W15-W25-W31</f>
        <v>2199782.1835000063</v>
      </c>
      <c r="X46" s="80">
        <f>W46+X15-X25-X31</f>
        <v>1309242.7890000064</v>
      </c>
      <c r="Y46" s="80">
        <f>X46+Y15-Y25-Y31</f>
        <v>418691.39450000634</v>
      </c>
      <c r="Z46" s="80">
        <v>0</v>
      </c>
    </row>
    <row r="47" spans="1:26" ht="48" customHeight="1">
      <c r="A47" s="67" t="s">
        <v>131</v>
      </c>
      <c r="B47" s="79">
        <v>4861053</v>
      </c>
      <c r="C47" s="80">
        <f>B47+C16-C26</f>
        <v>7964322</v>
      </c>
      <c r="D47" s="80">
        <f>C47+D16-D26</f>
        <v>9438082</v>
      </c>
      <c r="E47" s="80">
        <f>D47+E16-E26</f>
        <v>8929764.1</v>
      </c>
      <c r="F47" s="80">
        <f>E47+F16-F26</f>
        <v>10316494.2</v>
      </c>
      <c r="G47" s="80">
        <f>F47+G16-G26</f>
        <v>9101058.95</v>
      </c>
      <c r="H47" s="80">
        <f>G47+H16-H26</f>
        <v>7885623.699999999</v>
      </c>
      <c r="I47" s="80">
        <f>H47+I16-I26</f>
        <v>6893905.449999999</v>
      </c>
      <c r="J47" s="80">
        <f>I47+J16-J26</f>
        <v>5902187.199999999</v>
      </c>
      <c r="K47" s="80">
        <f>J47+K16-K26</f>
        <v>4910468.949999999</v>
      </c>
      <c r="L47" s="80">
        <f>K47+L16-L26</f>
        <v>3918750.6999999993</v>
      </c>
      <c r="M47" s="80">
        <f>L47+M16-M26</f>
        <v>2927029.4499999993</v>
      </c>
      <c r="N47" s="80">
        <f>M47+N16-N26</f>
        <v>2406726.1999999993</v>
      </c>
      <c r="O47" s="80">
        <f>N47+O16-O26</f>
        <v>2199903.849999999</v>
      </c>
      <c r="P47" s="80">
        <f>O47+P16-P26</f>
        <v>1993081.499999999</v>
      </c>
      <c r="Q47" s="80">
        <f>P47+Q16-Q26</f>
        <v>1786259.149999999</v>
      </c>
      <c r="R47" s="80">
        <f>Q47+R16-R26</f>
        <v>1579436.7999999989</v>
      </c>
      <c r="S47" s="80">
        <f>R47+S16-S26</f>
        <v>1372614.4499999988</v>
      </c>
      <c r="T47" s="80">
        <f>S47+T16-T26</f>
        <v>1165792.0999999987</v>
      </c>
      <c r="U47" s="80">
        <f>T47+U16-U26</f>
        <v>958969.7499999987</v>
      </c>
      <c r="V47" s="80">
        <f>U47+V16-V26</f>
        <v>752147.3999999987</v>
      </c>
      <c r="W47" s="80">
        <f>V47+W16-W26</f>
        <v>545325.0499999988</v>
      </c>
      <c r="X47" s="80">
        <f>W47+X16-X26</f>
        <v>338502.6999999988</v>
      </c>
      <c r="Y47" s="80">
        <f>X47+Y16-Y26</f>
        <v>131634.34999999878</v>
      </c>
      <c r="Z47" s="81">
        <f>Y47+Z16-Z26</f>
        <v>-1.2223608791828156E-09</v>
      </c>
    </row>
    <row r="48" spans="1:26" ht="27" customHeight="1">
      <c r="A48" s="67" t="s">
        <v>132</v>
      </c>
      <c r="B48" s="72">
        <v>0</v>
      </c>
      <c r="C48" s="72">
        <v>0</v>
      </c>
      <c r="D48" s="72">
        <v>0</v>
      </c>
      <c r="E48" s="72">
        <v>0</v>
      </c>
      <c r="F48" s="72">
        <v>0</v>
      </c>
      <c r="G48" s="72">
        <v>0</v>
      </c>
      <c r="H48" s="72">
        <v>0</v>
      </c>
      <c r="I48" s="72">
        <v>0</v>
      </c>
      <c r="J48" s="72">
        <v>0</v>
      </c>
      <c r="K48" s="72">
        <v>0</v>
      </c>
      <c r="L48" s="72">
        <v>0</v>
      </c>
      <c r="M48" s="72">
        <v>0</v>
      </c>
      <c r="N48" s="72">
        <v>0</v>
      </c>
      <c r="O48" s="72">
        <v>0</v>
      </c>
      <c r="P48" s="72">
        <v>0</v>
      </c>
      <c r="Q48" s="72">
        <v>0</v>
      </c>
      <c r="R48" s="72">
        <v>0</v>
      </c>
      <c r="S48" s="72">
        <v>0</v>
      </c>
      <c r="T48" s="72">
        <v>0</v>
      </c>
      <c r="U48" s="72">
        <v>0</v>
      </c>
      <c r="V48" s="72">
        <v>0</v>
      </c>
      <c r="W48" s="72">
        <v>0</v>
      </c>
      <c r="X48" s="72">
        <v>0</v>
      </c>
      <c r="Y48" s="72">
        <v>0</v>
      </c>
      <c r="Z48" s="72">
        <v>0</v>
      </c>
    </row>
    <row r="49" spans="1:26" ht="27" customHeight="1">
      <c r="A49" s="67" t="s">
        <v>133</v>
      </c>
      <c r="B49" s="72">
        <v>0</v>
      </c>
      <c r="C49" s="72">
        <v>0</v>
      </c>
      <c r="D49" s="72">
        <v>0</v>
      </c>
      <c r="E49" s="72">
        <v>0</v>
      </c>
      <c r="F49" s="72">
        <v>0</v>
      </c>
      <c r="G49" s="72">
        <v>0</v>
      </c>
      <c r="H49" s="72">
        <v>0</v>
      </c>
      <c r="I49" s="72">
        <v>0</v>
      </c>
      <c r="J49" s="72">
        <v>0</v>
      </c>
      <c r="K49" s="72">
        <v>0</v>
      </c>
      <c r="L49" s="72">
        <v>0</v>
      </c>
      <c r="M49" s="72">
        <v>0</v>
      </c>
      <c r="N49" s="72">
        <v>0</v>
      </c>
      <c r="O49" s="72">
        <v>0</v>
      </c>
      <c r="P49" s="72">
        <v>0</v>
      </c>
      <c r="Q49" s="72">
        <v>0</v>
      </c>
      <c r="R49" s="72">
        <v>0</v>
      </c>
      <c r="S49" s="72">
        <v>0</v>
      </c>
      <c r="T49" s="72">
        <v>0</v>
      </c>
      <c r="U49" s="72">
        <v>0</v>
      </c>
      <c r="V49" s="72">
        <v>0</v>
      </c>
      <c r="W49" s="72">
        <v>0</v>
      </c>
      <c r="X49" s="72">
        <v>0</v>
      </c>
      <c r="Y49" s="72">
        <v>0</v>
      </c>
      <c r="Z49" s="72">
        <v>0</v>
      </c>
    </row>
    <row r="50" spans="1:26" ht="27" customHeight="1">
      <c r="A50" s="65" t="s">
        <v>134</v>
      </c>
      <c r="B50" s="76">
        <f>(B43-B45-B47)/B5</f>
        <v>0.3408796292869238</v>
      </c>
      <c r="C50" s="76">
        <f>(C43-C45-C47)/C5</f>
        <v>0.31513020490943255</v>
      </c>
      <c r="D50" s="76">
        <f>(D43-D45-D47)/D5</f>
        <v>0.37593907968241225</v>
      </c>
      <c r="E50" s="76">
        <f>(E43-E45-E47)/E5</f>
        <v>0.36013352475191646</v>
      </c>
      <c r="F50" s="77">
        <f>(F43-F45-F47)/F5</f>
        <v>0.390815027588974</v>
      </c>
      <c r="G50" s="77">
        <f>(G43-G45-G47)/G5</f>
        <v>0.39555331341593425</v>
      </c>
      <c r="H50" s="77">
        <f>(H43-H45-H47)/H5</f>
        <v>0.340178414625934</v>
      </c>
      <c r="I50" s="77">
        <f>(I43-I45-I47)/I5</f>
        <v>0.2931062495601596</v>
      </c>
      <c r="J50" s="77">
        <f>(J43-J45-J47)/J5</f>
        <v>0.24855334798861173</v>
      </c>
      <c r="K50" s="77">
        <f>(K43-K45-K47)/K5</f>
        <v>0.20641089140342314</v>
      </c>
      <c r="L50" s="77">
        <f>(L43-L45-L47)/L5</f>
        <v>0.16657432373801256</v>
      </c>
      <c r="M50" s="77">
        <f>(M43-M45-M47)/M5</f>
        <v>0.12894311399377975</v>
      </c>
      <c r="N50" s="77">
        <f>(N43-N45-N47)/N5</f>
        <v>0.10041078227364988</v>
      </c>
      <c r="O50" s="76">
        <f>(O43-O45-O47)/O5</f>
        <v>0.08886814459499548</v>
      </c>
      <c r="P50" s="76">
        <f>(P43-P45-P47)/P5</f>
        <v>0.07792795258339827</v>
      </c>
      <c r="Q50" s="76">
        <f>(Q43-Q45-Q47)/Q5</f>
        <v>0.06756444135197456</v>
      </c>
      <c r="R50" s="76">
        <f>(R43-R45-R47)/R5</f>
        <v>0.057752849864393115</v>
      </c>
      <c r="S50" s="76">
        <f>(S43-S45-S47)/S5</f>
        <v>0.04846938388864581</v>
      </c>
      <c r="T50" s="76">
        <f>(T43-T45-T47)/T5</f>
        <v>0.03969118027019819</v>
      </c>
      <c r="U50" s="76">
        <f>(U43-U45-U47)/U5</f>
        <v>0.03139627247869787</v>
      </c>
      <c r="V50" s="76">
        <f>(V43-V45-V47)/V5</f>
        <v>0.023563557383980378</v>
      </c>
      <c r="W50" s="76">
        <f>(W43-W45-W47)/W5</f>
        <v>0.016172763218621558</v>
      </c>
      <c r="X50" s="76">
        <f>(X43-X45-X47)/X5</f>
        <v>0.00920441868574423</v>
      </c>
      <c r="Y50" s="76">
        <f>(Y43-Y45-Y47)/Y5</f>
        <v>0.002640135878752954</v>
      </c>
      <c r="Z50" s="76">
        <f>(Z43-Z45-Z47)/Z5</f>
        <v>1.0904911881689768E-17</v>
      </c>
    </row>
    <row r="51" spans="1:26" ht="48" customHeight="1">
      <c r="A51" s="65" t="s">
        <v>135</v>
      </c>
      <c r="B51" s="76" t="s">
        <v>136</v>
      </c>
      <c r="C51" s="76" t="s">
        <v>136</v>
      </c>
      <c r="D51" s="82">
        <v>0.104323622108358</v>
      </c>
      <c r="E51" s="76">
        <f>((D6+D8-D10)/D5+(C6+C8-C10)/C5+(B6+B8-B10)/B5)/3</f>
        <v>0.0845167385672977</v>
      </c>
      <c r="F51" s="76">
        <f>((E6+E8-E10)/E5+(D6+D8-D10)/D5+(C6+C8-C10)/C5)/3</f>
        <v>0.07029718109259918</v>
      </c>
      <c r="G51" s="76">
        <f>((F6+F8-F10)/F5+(E6+E8-E10)/E5+(D6+D8-D10)/D5)/3</f>
        <v>0.06006333493665975</v>
      </c>
      <c r="H51" s="76">
        <f>((G6+G8-G10)/G5+(F6+F8-F10)/F5+(E6+E8-E10)/E5)/3</f>
        <v>0.10058321173489464</v>
      </c>
      <c r="I51" s="76">
        <f>((H6+H8-H10)/H5+(G6+G8-G10)/G5+(F6+F8-F10)/F5)/3</f>
        <v>0.13697582864962107</v>
      </c>
      <c r="J51" s="76">
        <f>((I6+I8-I10)/I5+(H6+H8-H10)/H5+(G6+G8-G10)/G5)/3</f>
        <v>0.1742809363878154</v>
      </c>
      <c r="K51" s="76">
        <f>((J6+J8-J10)/J5+(I6+I8-I10)/I5+(H6+H8-H10)/H5)/3</f>
        <v>0.15611163096266215</v>
      </c>
      <c r="L51" s="76">
        <f>((K6+K8-K10)/K5+(J6+J8-J10)/J5+(I6+I8-I10)/I5)/3</f>
        <v>0.15688421819241508</v>
      </c>
      <c r="M51" s="76">
        <f>((L6+L8-L10)/L5+(K6+K8-K10)/K5+(J6+J8-J10)/J5)/3</f>
        <v>0.15765614012229703</v>
      </c>
      <c r="N51" s="76">
        <f>((M6+M8-M10)/M5+(L6+L8-L10)/L5+(K6+K8-K10)/K5)/3</f>
        <v>0.15842739724832192</v>
      </c>
      <c r="O51" s="76">
        <f>((N6+N8-N10)/N5+(M6+M8-M10)/M5+(L6+L8-L10)/L5)/3</f>
        <v>0.15919799006627525</v>
      </c>
      <c r="P51" s="76">
        <f>((O6+O8-O10)/O5+(N6+N8-N10)/N5+(M6+M8-M10)/M5)/3</f>
        <v>0.15996791907171376</v>
      </c>
      <c r="Q51" s="76">
        <f>((P6+P8-P10)/P5+(O6+O8-O10)/O5+(N6+N8-N10)/N5)/3</f>
        <v>0.16073718475996548</v>
      </c>
      <c r="R51" s="76">
        <f>((Q6+Q8-Q10)/Q5+(P6+P8-P10)/P5+(O6+O8-O10)/O5)/3</f>
        <v>0.1615057876261293</v>
      </c>
      <c r="S51" s="76">
        <f>((R6+R8-R10)/R5+(Q6+Q8-Q10)/Q5+(P6+P8-P10)/P5)/3</f>
        <v>0.16227372816507504</v>
      </c>
      <c r="T51" s="76">
        <f>((S6+S8-S10)/S5+(R6+R8-R10)/R5+(Q6+Q8-Q10)/Q5)/3</f>
        <v>0.163041006871443</v>
      </c>
      <c r="U51" s="76">
        <f>((T6+T8-T10)/T5+(S6+S8-S10)/S5+(R6+R8-R10)/R5)/3</f>
        <v>0.16380762423964393</v>
      </c>
      <c r="V51" s="76">
        <f>((U6+U8-U10)/U5+(T6+T8-T10)/T5+(S6+S8-S10)/S5)/3</f>
        <v>0.16457358076385917</v>
      </c>
      <c r="W51" s="76">
        <f>((V6+V8-V10)/V5+(U6+U8-U10)/U5+(T6+T8-T10)/T5)/3</f>
        <v>0.16533887693804</v>
      </c>
      <c r="X51" s="76">
        <f>((W6+W8-W10)/W5+(V6+V8-V10)/V5+(U6+U8-U10)/U5)/3</f>
        <v>0.1661035132559078</v>
      </c>
      <c r="Y51" s="76">
        <f>((X6+X8-X10)/X5+(W6+W8-W10)/W5+(V6+V8-V10)/V5)/3</f>
        <v>0.16686749021095357</v>
      </c>
      <c r="Z51" s="76">
        <f>((Y6+Y8-Y10)/Y5+(X6+X8-X10)/X5+(W6+W8-W10)/W5)/3</f>
        <v>0.16763080829643803</v>
      </c>
    </row>
    <row r="52" spans="1:26" ht="48" customHeight="1">
      <c r="A52" s="65" t="s">
        <v>137</v>
      </c>
      <c r="B52" s="76" t="s">
        <v>136</v>
      </c>
      <c r="C52" s="76" t="s">
        <v>136</v>
      </c>
      <c r="D52" s="76" t="str">
        <f>IF(D42&lt;=D51,"TAK","NIE")</f>
        <v>TAK</v>
      </c>
      <c r="E52" s="76" t="str">
        <f>IF(E42&lt;=E51,"TAK","NIE")</f>
        <v>TAK</v>
      </c>
      <c r="F52" s="76" t="str">
        <f>IF(F42&lt;=F51,"TAK","NIE")</f>
        <v>NIE</v>
      </c>
      <c r="G52" s="76" t="str">
        <f>IF(G42&lt;=G51,"TAK","NIE")</f>
        <v>NIE</v>
      </c>
      <c r="H52" s="77" t="str">
        <f>IF(H42&lt;=H51,"TAK","NIE")</f>
        <v>TAK</v>
      </c>
      <c r="I52" s="77" t="str">
        <f>IF(I42&lt;=I51,"TAK","NIE")</f>
        <v>TAK</v>
      </c>
      <c r="J52" s="77" t="str">
        <f>IF(J42&lt;=J51,"TAK","NIE")</f>
        <v>TAK</v>
      </c>
      <c r="K52" s="77" t="str">
        <f>IF(K42&lt;=K51,"TAK","NIE")</f>
        <v>TAK</v>
      </c>
      <c r="L52" s="77" t="str">
        <f>IF(L42&lt;=L51,"TAK","NIE")</f>
        <v>TAK</v>
      </c>
      <c r="M52" s="77" t="str">
        <f>IF(M42&lt;=M51,"TAK","NIE")</f>
        <v>TAK</v>
      </c>
      <c r="N52" s="77" t="str">
        <f>IF(N42&lt;=N51,"TAK","NIE")</f>
        <v>TAK</v>
      </c>
      <c r="O52" s="77" t="str">
        <f>IF(O42&lt;=O51,"TAK","NIE")</f>
        <v>TAK</v>
      </c>
      <c r="P52" s="77" t="str">
        <f>IF(P42&lt;=P51,"TAK","NIE")</f>
        <v>TAK</v>
      </c>
      <c r="Q52" s="76" t="str">
        <f>IF(Q42&lt;=Q51,"TAK","NIE")</f>
        <v>TAK</v>
      </c>
      <c r="R52" s="76" t="str">
        <f>IF(R42&lt;=R51,"TAK","NIE")</f>
        <v>TAK</v>
      </c>
      <c r="S52" s="76" t="str">
        <f>IF(S42&lt;=S51,"TAK","NIE")</f>
        <v>TAK</v>
      </c>
      <c r="T52" s="76" t="str">
        <f>IF(T42&lt;=T51,"TAK","NIE")</f>
        <v>TAK</v>
      </c>
      <c r="U52" s="76" t="str">
        <f>IF(U42&lt;=U51,"TAK","NIE")</f>
        <v>TAK</v>
      </c>
      <c r="V52" s="76" t="str">
        <f>IF(V42&lt;=V51,"TAK","NIE")</f>
        <v>TAK</v>
      </c>
      <c r="W52" s="76" t="str">
        <f>IF(W42&lt;=W51,"TAK","NIE")</f>
        <v>TAK</v>
      </c>
      <c r="X52" s="76" t="str">
        <f>IF(X42&lt;=X51,"TAK","NIE")</f>
        <v>TAK</v>
      </c>
      <c r="Y52" s="76" t="str">
        <f>IF(Y42&lt;=Y51,"TAK","NIE")</f>
        <v>TAK</v>
      </c>
      <c r="Z52" s="76" t="str">
        <f>IF(Z42&lt;=Z51,"TAK","NIE")</f>
        <v>TAK</v>
      </c>
    </row>
    <row r="53" spans="1:26" ht="12.75">
      <c r="A53" t="s">
        <v>52</v>
      </c>
      <c r="B53" s="47"/>
      <c r="C53" s="47"/>
      <c r="D53" s="83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84"/>
      <c r="X53" s="84"/>
      <c r="Y53" s="84"/>
      <c r="Z53" s="47"/>
    </row>
    <row r="54" spans="2:26" ht="12.75">
      <c r="B54" s="47"/>
      <c r="C54" s="47"/>
      <c r="D54" s="83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84"/>
      <c r="X54" s="84"/>
      <c r="Y54" s="84"/>
      <c r="Z54" s="47"/>
    </row>
    <row r="55" spans="1:26" ht="12.75">
      <c r="A55" s="47"/>
      <c r="B55" s="47"/>
      <c r="C55" s="47"/>
      <c r="D55" s="83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85"/>
      <c r="X55" s="85"/>
      <c r="Y55" s="85"/>
      <c r="Z55" s="85"/>
    </row>
    <row r="56" spans="1:26" ht="12.75">
      <c r="A56" s="47"/>
      <c r="B56" s="47"/>
      <c r="C56" s="47"/>
      <c r="D56" s="83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</row>
    <row r="57" spans="1:26" ht="12.75">
      <c r="A57" s="47"/>
      <c r="B57" s="47"/>
      <c r="C57" s="47"/>
      <c r="D57" s="83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85"/>
      <c r="X57" s="85"/>
      <c r="Y57" s="85"/>
      <c r="Z57" s="85"/>
    </row>
    <row r="58" spans="1:26" ht="90" customHeight="1">
      <c r="A58" s="86" t="s">
        <v>138</v>
      </c>
      <c r="B58" s="86"/>
      <c r="C58" s="86"/>
      <c r="D58" s="86"/>
      <c r="E58" s="86"/>
      <c r="F58" s="86"/>
      <c r="G58" s="86"/>
      <c r="H58" s="86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</row>
    <row r="59" spans="1:26" ht="24.75" customHeight="1">
      <c r="A59" s="86"/>
      <c r="B59" s="86"/>
      <c r="C59" s="86"/>
      <c r="D59" s="86"/>
      <c r="E59" s="86"/>
      <c r="F59" s="86"/>
      <c r="G59" s="86"/>
      <c r="H59" s="86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</row>
    <row r="60" spans="1:26" ht="12.75">
      <c r="A60" s="87"/>
      <c r="B60" s="87"/>
      <c r="C60" s="87"/>
      <c r="D60" s="87"/>
      <c r="E60" s="87"/>
      <c r="F60" s="87"/>
      <c r="G60" s="87"/>
      <c r="H60" s="8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</row>
    <row r="61" spans="1:26" ht="12.75">
      <c r="A61" s="87"/>
      <c r="B61" s="87"/>
      <c r="C61" s="87"/>
      <c r="D61" s="87"/>
      <c r="E61" s="87"/>
      <c r="F61" s="87"/>
      <c r="G61" s="87"/>
      <c r="H61" s="8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</row>
    <row r="62" spans="1:26" ht="12.75">
      <c r="A62" s="88" t="s">
        <v>139</v>
      </c>
      <c r="B62" s="47"/>
      <c r="C62" s="47"/>
      <c r="D62" s="83"/>
      <c r="E62" s="89">
        <f>SUM(E6-E10+E22)</f>
        <v>8498977</v>
      </c>
      <c r="F62" s="89">
        <f>SUM(F6-F10+F22)</f>
        <v>661000</v>
      </c>
      <c r="G62" s="89">
        <f>SUM(G6-G10+G22)</f>
        <v>9003696.191</v>
      </c>
      <c r="H62" s="89">
        <f>SUM(H6-H10+H22)</f>
        <v>9310594.072921</v>
      </c>
      <c r="I62" s="89">
        <f>SUM(I6-I10+I22)</f>
        <v>9628536.78818155</v>
      </c>
      <c r="J62" s="89">
        <f>SUM(J6-J10+J22)</f>
        <v>9957912.656585172</v>
      </c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</row>
    <row r="63" spans="1:26" ht="12.75">
      <c r="A63" s="47"/>
      <c r="B63" s="47"/>
      <c r="C63" s="47"/>
      <c r="D63" s="83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</row>
    <row r="64" spans="1:26" ht="12.75">
      <c r="A64" s="47"/>
      <c r="B64" s="47"/>
      <c r="C64" s="47"/>
      <c r="D64" s="83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</row>
    <row r="65" spans="1:26" ht="12.75">
      <c r="A65" s="47"/>
      <c r="B65" s="47"/>
      <c r="C65" s="47"/>
      <c r="D65" s="83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</row>
    <row r="66" spans="1:26" ht="12.75">
      <c r="A66" s="47"/>
      <c r="B66" s="47"/>
      <c r="C66" s="47"/>
      <c r="D66" s="83">
        <v>2010</v>
      </c>
      <c r="E66" s="47">
        <v>2011</v>
      </c>
      <c r="F66" s="47">
        <v>2012</v>
      </c>
      <c r="G66" s="47">
        <v>2013</v>
      </c>
      <c r="H66" s="47">
        <v>2014</v>
      </c>
      <c r="I66" s="47">
        <v>2015</v>
      </c>
      <c r="J66" s="47">
        <v>2016</v>
      </c>
      <c r="K66" s="47">
        <v>2017</v>
      </c>
      <c r="L66" s="47">
        <v>2018</v>
      </c>
      <c r="M66" s="47">
        <v>2019</v>
      </c>
      <c r="N66" s="47">
        <v>2020</v>
      </c>
      <c r="O66" s="47">
        <v>2021</v>
      </c>
      <c r="P66" s="47">
        <v>2022</v>
      </c>
      <c r="Q66" s="47">
        <v>2023</v>
      </c>
      <c r="R66" s="47">
        <v>2024</v>
      </c>
      <c r="S66" s="47">
        <v>2025</v>
      </c>
      <c r="T66" s="47">
        <v>2026</v>
      </c>
      <c r="U66" s="47">
        <v>2027</v>
      </c>
      <c r="V66" s="47">
        <v>2028</v>
      </c>
      <c r="W66" s="47">
        <v>2029</v>
      </c>
      <c r="X66" s="47">
        <v>2030</v>
      </c>
      <c r="Y66" s="47">
        <v>2031</v>
      </c>
      <c r="Z66" s="47">
        <v>2032</v>
      </c>
    </row>
    <row r="67" spans="1:26" ht="51" customHeight="1">
      <c r="A67" s="53" t="s">
        <v>140</v>
      </c>
      <c r="B67" s="90" t="s">
        <v>141</v>
      </c>
      <c r="C67" s="90"/>
      <c r="D67" s="91">
        <v>6476116.28</v>
      </c>
      <c r="E67" s="91">
        <f>6671237.45+29896.55</f>
        <v>6701134</v>
      </c>
      <c r="F67" s="91">
        <f>7075113.44-29896.55</f>
        <v>7045216.890000001</v>
      </c>
      <c r="G67" s="91">
        <v>4964286.04</v>
      </c>
      <c r="H67" s="91">
        <v>4964286.84</v>
      </c>
      <c r="I67" s="91">
        <v>2562422.84</v>
      </c>
      <c r="J67" s="91">
        <v>2562422.84</v>
      </c>
      <c r="K67" s="91">
        <v>2562422.84</v>
      </c>
      <c r="L67" s="91">
        <v>2562422.84</v>
      </c>
      <c r="M67" s="91">
        <v>2562431.84</v>
      </c>
      <c r="N67" s="91">
        <v>1547478.73</v>
      </c>
      <c r="O67" s="92"/>
      <c r="P67" s="93"/>
      <c r="Q67" s="94"/>
      <c r="R67" s="94"/>
      <c r="S67" s="94"/>
      <c r="T67" s="94"/>
      <c r="U67" s="94"/>
      <c r="V67" s="94"/>
      <c r="W67" s="94"/>
      <c r="X67" s="94"/>
      <c r="Y67" s="94"/>
      <c r="Z67" s="94"/>
    </row>
    <row r="68" spans="1:27" ht="12.75">
      <c r="A68" s="53"/>
      <c r="B68" s="95" t="s">
        <v>142</v>
      </c>
      <c r="C68" s="91">
        <f>E15</f>
        <v>9201048</v>
      </c>
      <c r="D68" s="96">
        <v>0</v>
      </c>
      <c r="E68" s="96">
        <v>0</v>
      </c>
      <c r="F68" s="96">
        <v>235924</v>
      </c>
      <c r="G68" s="96">
        <v>471848</v>
      </c>
      <c r="H68" s="96">
        <v>471848</v>
      </c>
      <c r="I68" s="96">
        <v>471848</v>
      </c>
      <c r="J68" s="96">
        <v>471848</v>
      </c>
      <c r="K68" s="96">
        <v>471848</v>
      </c>
      <c r="L68" s="96">
        <v>471848</v>
      </c>
      <c r="M68" s="96">
        <v>471848</v>
      </c>
      <c r="N68" s="96">
        <v>471848</v>
      </c>
      <c r="O68" s="96">
        <v>471848</v>
      </c>
      <c r="P68" s="96">
        <v>471848</v>
      </c>
      <c r="Q68" s="96">
        <v>471848</v>
      </c>
      <c r="R68" s="96">
        <v>471848</v>
      </c>
      <c r="S68" s="96">
        <v>471848</v>
      </c>
      <c r="T68" s="96">
        <v>471848</v>
      </c>
      <c r="U68" s="96">
        <v>471848</v>
      </c>
      <c r="V68" s="96">
        <v>471848</v>
      </c>
      <c r="W68" s="96">
        <v>471848</v>
      </c>
      <c r="X68" s="96">
        <v>471848</v>
      </c>
      <c r="Y68" s="96">
        <v>471860</v>
      </c>
      <c r="Z68" s="96"/>
      <c r="AA68" s="97">
        <f>SUM(F68:Y68)</f>
        <v>9201048</v>
      </c>
    </row>
    <row r="69" spans="1:27" ht="18" customHeight="1">
      <c r="A69" s="53"/>
      <c r="B69" s="47" t="s">
        <v>143</v>
      </c>
      <c r="C69" s="98">
        <f>F15</f>
        <v>8373827.890000001</v>
      </c>
      <c r="D69" s="94">
        <v>0</v>
      </c>
      <c r="E69" s="94">
        <v>0</v>
      </c>
      <c r="F69" s="94">
        <v>0</v>
      </c>
      <c r="G69" s="94">
        <f>SUM(C69/20)</f>
        <v>418691.39450000005</v>
      </c>
      <c r="H69" s="94">
        <f>G69</f>
        <v>418691.39450000005</v>
      </c>
      <c r="I69" s="94">
        <f>H69</f>
        <v>418691.39450000005</v>
      </c>
      <c r="J69" s="94">
        <f>I69</f>
        <v>418691.39450000005</v>
      </c>
      <c r="K69" s="94">
        <f>J69</f>
        <v>418691.39450000005</v>
      </c>
      <c r="L69" s="94">
        <f>K69</f>
        <v>418691.39450000005</v>
      </c>
      <c r="M69" s="94">
        <f>L69</f>
        <v>418691.39450000005</v>
      </c>
      <c r="N69" s="94">
        <f>M69</f>
        <v>418691.39450000005</v>
      </c>
      <c r="O69" s="94">
        <f>N69</f>
        <v>418691.39450000005</v>
      </c>
      <c r="P69" s="94">
        <f>O69</f>
        <v>418691.39450000005</v>
      </c>
      <c r="Q69" s="94">
        <f>P69</f>
        <v>418691.39450000005</v>
      </c>
      <c r="R69" s="94">
        <f>Q69</f>
        <v>418691.39450000005</v>
      </c>
      <c r="S69" s="94">
        <f>R69</f>
        <v>418691.39450000005</v>
      </c>
      <c r="T69" s="94">
        <f>S69</f>
        <v>418691.39450000005</v>
      </c>
      <c r="U69" s="94">
        <f>T69</f>
        <v>418691.39450000005</v>
      </c>
      <c r="V69" s="94">
        <f>U69</f>
        <v>418691.39450000005</v>
      </c>
      <c r="W69" s="94">
        <f>V69</f>
        <v>418691.39450000005</v>
      </c>
      <c r="X69" s="94">
        <f>W69</f>
        <v>418691.39450000005</v>
      </c>
      <c r="Y69" s="94">
        <f>X69</f>
        <v>418691.39450000005</v>
      </c>
      <c r="Z69" s="94">
        <f>Y69</f>
        <v>418691.39450000005</v>
      </c>
      <c r="AA69" s="97">
        <f>SUM(G69:Z69)</f>
        <v>8373827.890000003</v>
      </c>
    </row>
    <row r="70" spans="1:26" ht="12.75">
      <c r="A70" s="47"/>
      <c r="B70" s="47"/>
      <c r="C70" s="47"/>
      <c r="D70" s="83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</row>
    <row r="71" spans="1:26" ht="12.75">
      <c r="A71" s="47"/>
      <c r="B71" s="47"/>
      <c r="C71" s="47"/>
      <c r="D71" s="83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</row>
    <row r="72" spans="1:26" ht="12.75">
      <c r="A72" s="47"/>
      <c r="B72" s="99" t="s">
        <v>144</v>
      </c>
      <c r="C72" s="99"/>
      <c r="D72" s="83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</row>
    <row r="73" spans="1:26" ht="12.75">
      <c r="A73" s="47"/>
      <c r="B73" s="47"/>
      <c r="C73" s="47"/>
      <c r="D73" s="83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</row>
    <row r="74" spans="1:26" ht="43.5" customHeight="1">
      <c r="A74" s="53" t="s">
        <v>145</v>
      </c>
      <c r="B74" s="100" t="s">
        <v>146</v>
      </c>
      <c r="C74" s="100"/>
      <c r="D74" s="91">
        <v>1661049</v>
      </c>
      <c r="E74" s="91">
        <v>1661049</v>
      </c>
      <c r="F74" s="91">
        <v>894882</v>
      </c>
      <c r="G74" s="91">
        <v>695132</v>
      </c>
      <c r="H74" s="91">
        <v>695132</v>
      </c>
      <c r="I74" s="91">
        <v>471415</v>
      </c>
      <c r="J74" s="91">
        <v>471415</v>
      </c>
      <c r="K74" s="91">
        <v>471415</v>
      </c>
      <c r="L74" s="91">
        <v>471415</v>
      </c>
      <c r="M74" s="91">
        <v>471418</v>
      </c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</row>
    <row r="75" spans="1:26" ht="12.75">
      <c r="A75" s="47"/>
      <c r="B75" s="47" t="s">
        <v>147</v>
      </c>
      <c r="C75" s="101">
        <f>D16</f>
        <v>3134809</v>
      </c>
      <c r="D75" s="96"/>
      <c r="E75" s="96">
        <v>313480.9</v>
      </c>
      <c r="F75" s="96">
        <v>313480.9</v>
      </c>
      <c r="G75" s="96">
        <v>313480.9</v>
      </c>
      <c r="H75" s="96">
        <v>313480.9</v>
      </c>
      <c r="I75" s="96">
        <v>313480.9</v>
      </c>
      <c r="J75" s="96">
        <v>313480.9</v>
      </c>
      <c r="K75" s="96">
        <v>313480.9</v>
      </c>
      <c r="L75" s="96">
        <v>313480.9</v>
      </c>
      <c r="M75" s="96">
        <v>313480.9</v>
      </c>
      <c r="N75" s="96">
        <v>313480.9</v>
      </c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4"/>
    </row>
    <row r="76" spans="1:27" ht="12.75">
      <c r="A76" s="53"/>
      <c r="B76" s="95" t="s">
        <v>142</v>
      </c>
      <c r="C76" s="101">
        <f>E16</f>
        <v>1466212</v>
      </c>
      <c r="D76" s="96"/>
      <c r="E76" s="96"/>
      <c r="F76" s="96">
        <v>37594</v>
      </c>
      <c r="G76" s="96">
        <v>75188</v>
      </c>
      <c r="H76" s="96">
        <v>75188</v>
      </c>
      <c r="I76" s="96">
        <v>75188</v>
      </c>
      <c r="J76" s="96">
        <v>75188</v>
      </c>
      <c r="K76" s="96">
        <v>75188</v>
      </c>
      <c r="L76" s="96">
        <v>75188</v>
      </c>
      <c r="M76" s="96">
        <v>75188</v>
      </c>
      <c r="N76" s="96">
        <v>75188</v>
      </c>
      <c r="O76" s="96">
        <v>75188</v>
      </c>
      <c r="P76" s="96">
        <v>75188</v>
      </c>
      <c r="Q76" s="96">
        <v>75188</v>
      </c>
      <c r="R76" s="96">
        <v>75188</v>
      </c>
      <c r="S76" s="96">
        <v>75188</v>
      </c>
      <c r="T76" s="96">
        <v>75188</v>
      </c>
      <c r="U76" s="96">
        <v>75188</v>
      </c>
      <c r="V76" s="96">
        <v>75188</v>
      </c>
      <c r="W76" s="96">
        <v>75188</v>
      </c>
      <c r="X76" s="96">
        <v>75188</v>
      </c>
      <c r="Y76" s="96">
        <v>75234</v>
      </c>
      <c r="Z76" s="94"/>
      <c r="AA76" s="97">
        <f>SUM(F76:Y76)</f>
        <v>1466212</v>
      </c>
    </row>
    <row r="77" spans="1:26" ht="12.75">
      <c r="A77" s="53"/>
      <c r="B77" s="47" t="s">
        <v>143</v>
      </c>
      <c r="C77" s="98">
        <f>F16</f>
        <v>2632687</v>
      </c>
      <c r="D77" s="94"/>
      <c r="E77" s="94"/>
      <c r="F77" s="94"/>
      <c r="G77" s="94">
        <f>SUM($C77/20)</f>
        <v>131634.35</v>
      </c>
      <c r="H77" s="94">
        <f>SUM($C77/20)</f>
        <v>131634.35</v>
      </c>
      <c r="I77" s="94">
        <f>SUM($C77/20)</f>
        <v>131634.35</v>
      </c>
      <c r="J77" s="94">
        <f>SUM($C77/20)</f>
        <v>131634.35</v>
      </c>
      <c r="K77" s="94">
        <f>SUM($C77/20)</f>
        <v>131634.35</v>
      </c>
      <c r="L77" s="94">
        <f>SUM($C77/20)</f>
        <v>131634.35</v>
      </c>
      <c r="M77" s="94">
        <f>SUM($C77/20)</f>
        <v>131634.35</v>
      </c>
      <c r="N77" s="94">
        <f>SUM($C77/20)</f>
        <v>131634.35</v>
      </c>
      <c r="O77" s="94">
        <f>SUM($C77/20)</f>
        <v>131634.35</v>
      </c>
      <c r="P77" s="94">
        <f>SUM($C77/20)</f>
        <v>131634.35</v>
      </c>
      <c r="Q77" s="94">
        <f>SUM($C77/20)</f>
        <v>131634.35</v>
      </c>
      <c r="R77" s="94">
        <f>SUM($C77/20)</f>
        <v>131634.35</v>
      </c>
      <c r="S77" s="94">
        <f>SUM($C77/20)</f>
        <v>131634.35</v>
      </c>
      <c r="T77" s="94">
        <f>SUM($C77/20)</f>
        <v>131634.35</v>
      </c>
      <c r="U77" s="94">
        <f>SUM($C77/20)</f>
        <v>131634.35</v>
      </c>
      <c r="V77" s="94">
        <f>SUM($C77/20)</f>
        <v>131634.35</v>
      </c>
      <c r="W77" s="94">
        <f>SUM($C77/20)</f>
        <v>131634.35</v>
      </c>
      <c r="X77" s="94">
        <f>SUM($C77/20)</f>
        <v>131634.35</v>
      </c>
      <c r="Y77" s="94">
        <f>SUM($C77/20)</f>
        <v>131634.35</v>
      </c>
      <c r="Z77" s="94">
        <f>SUM($C77/20)</f>
        <v>131634.35</v>
      </c>
    </row>
    <row r="78" spans="1:26" ht="12.75">
      <c r="A78" s="47"/>
      <c r="B78" s="47"/>
      <c r="C78" s="47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</row>
    <row r="79" spans="1:26" ht="12.75">
      <c r="A79" s="47"/>
      <c r="B79" s="47"/>
      <c r="C79" s="47"/>
      <c r="D79" s="83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</row>
    <row r="80" spans="1:26" ht="12.75">
      <c r="A80" s="47"/>
      <c r="B80" s="47"/>
      <c r="C80" s="47"/>
      <c r="D80" s="83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</row>
    <row r="82" spans="5:11" ht="12.75">
      <c r="E82" s="102"/>
      <c r="F82" s="102"/>
      <c r="G82" s="102"/>
      <c r="H82" s="102"/>
      <c r="I82" s="102"/>
      <c r="J82" s="102"/>
      <c r="K82" s="102"/>
    </row>
    <row r="83" spans="5:10" ht="12.75">
      <c r="E83" s="102"/>
      <c r="F83" s="102"/>
      <c r="G83" s="102"/>
      <c r="H83" s="102"/>
      <c r="I83" s="102"/>
      <c r="J83" s="102"/>
    </row>
  </sheetData>
  <sheetProtection selectLockedCells="1" selectUnlockedCells="1"/>
  <mergeCells count="13">
    <mergeCell ref="Y1:Z1"/>
    <mergeCell ref="Y2:Z2"/>
    <mergeCell ref="A3:Z3"/>
    <mergeCell ref="W53:Y53"/>
    <mergeCell ref="W54:Y54"/>
    <mergeCell ref="W55:Z55"/>
    <mergeCell ref="W57:Z57"/>
    <mergeCell ref="A58:H59"/>
    <mergeCell ref="A60:H60"/>
    <mergeCell ref="A61:H61"/>
    <mergeCell ref="B67:C67"/>
    <mergeCell ref="B72:C72"/>
    <mergeCell ref="B74:C74"/>
  </mergeCells>
  <printOptions/>
  <pageMargins left="0.39375" right="0.19652777777777777" top="0.19652777777777777" bottom="0.4722222222222222" header="0.5118055555555555" footer="0.5118055555555555"/>
  <pageSetup firstPageNumber="1" useFirstPageNumber="1" horizontalDpi="300" verticalDpi="300" orientation="landscape" paperSize="8" scale="48"/>
</worksheet>
</file>

<file path=xl/worksheets/sheet3.xml><?xml version="1.0" encoding="utf-8"?>
<worksheet xmlns="http://schemas.openxmlformats.org/spreadsheetml/2006/main" xmlns:r="http://schemas.openxmlformats.org/officeDocument/2006/relationships">
  <dimension ref="B1:P83"/>
  <sheetViews>
    <sheetView zoomScale="90" zoomScaleNormal="90" workbookViewId="0" topLeftCell="A1">
      <pane ySplit="6" topLeftCell="A31" activePane="bottomLeft" state="frozen"/>
      <selection pane="topLeft" activeCell="A1" sqref="A1"/>
      <selection pane="bottomLeft" activeCell="J2" sqref="J2"/>
    </sheetView>
  </sheetViews>
  <sheetFormatPr defaultColWidth="9.140625" defaultRowHeight="12.75"/>
  <cols>
    <col min="1" max="1" width="3.7109375" style="0" customWidth="1"/>
    <col min="2" max="2" width="2.7109375" style="0" customWidth="1"/>
    <col min="3" max="3" width="56.00390625" style="0" customWidth="1"/>
    <col min="4" max="4" width="13.140625" style="0" customWidth="1"/>
    <col min="5" max="5" width="4.8515625" style="0" customWidth="1"/>
    <col min="6" max="6" width="6.421875" style="0" customWidth="1"/>
    <col min="7" max="7" width="14.140625" style="0" customWidth="1"/>
    <col min="8" max="9" width="14.28125" style="0" customWidth="1"/>
    <col min="10" max="10" width="13.28125" style="0" customWidth="1"/>
    <col min="11" max="12" width="13.421875" style="0" customWidth="1"/>
    <col min="13" max="16384" width="9.28125" style="0" customWidth="1"/>
  </cols>
  <sheetData>
    <row r="1" spans="3:12" s="103" customFormat="1" ht="14.25" customHeight="1">
      <c r="C1" s="104"/>
      <c r="D1" s="104"/>
      <c r="E1" s="104"/>
      <c r="F1" s="104"/>
      <c r="G1" s="104"/>
      <c r="H1" s="104"/>
      <c r="I1" s="104"/>
      <c r="J1" s="4" t="s">
        <v>148</v>
      </c>
      <c r="K1" s="4"/>
      <c r="L1" s="4"/>
    </row>
    <row r="2" spans="3:12" s="103" customFormat="1" ht="39" customHeight="1">
      <c r="C2" s="104"/>
      <c r="D2" s="104"/>
      <c r="E2" s="104"/>
      <c r="F2" s="104"/>
      <c r="G2" s="104"/>
      <c r="H2" s="104"/>
      <c r="I2" s="104"/>
      <c r="J2" s="105" t="s">
        <v>149</v>
      </c>
      <c r="K2" s="105"/>
      <c r="L2" s="105"/>
    </row>
    <row r="3" spans="3:12" s="103" customFormat="1" ht="12.75">
      <c r="C3" s="106" t="s">
        <v>150</v>
      </c>
      <c r="D3" s="106"/>
      <c r="E3" s="106"/>
      <c r="F3" s="106"/>
      <c r="G3" s="106"/>
      <c r="H3" s="106"/>
      <c r="I3" s="106"/>
      <c r="J3" s="106" t="s">
        <v>62</v>
      </c>
      <c r="K3" s="106"/>
      <c r="L3" s="106"/>
    </row>
    <row r="4" s="103" customFormat="1" ht="7.5" customHeight="1"/>
    <row r="5" spans="2:12" s="103" customFormat="1" ht="73.5" customHeight="1">
      <c r="B5" s="107" t="s">
        <v>2</v>
      </c>
      <c r="C5" s="107" t="s">
        <v>151</v>
      </c>
      <c r="D5" s="107" t="s">
        <v>152</v>
      </c>
      <c r="E5" s="107" t="s">
        <v>153</v>
      </c>
      <c r="F5" s="107"/>
      <c r="G5" s="107" t="s">
        <v>154</v>
      </c>
      <c r="H5" s="107" t="s">
        <v>155</v>
      </c>
      <c r="I5" s="107"/>
      <c r="J5" s="107"/>
      <c r="K5" s="107"/>
      <c r="L5" s="107" t="s">
        <v>156</v>
      </c>
    </row>
    <row r="6" spans="2:12" s="103" customFormat="1" ht="9" customHeight="1">
      <c r="B6" s="107"/>
      <c r="C6" s="107"/>
      <c r="D6" s="107"/>
      <c r="E6" s="107" t="s">
        <v>157</v>
      </c>
      <c r="F6" s="107" t="s">
        <v>158</v>
      </c>
      <c r="G6" s="107"/>
      <c r="H6" s="107">
        <v>2012</v>
      </c>
      <c r="I6" s="107">
        <v>2013</v>
      </c>
      <c r="J6" s="107">
        <v>2014</v>
      </c>
      <c r="K6" s="107">
        <v>2015</v>
      </c>
      <c r="L6" s="107"/>
    </row>
    <row r="7" spans="2:12" s="103" customFormat="1" ht="12.75">
      <c r="B7" s="108">
        <v>1</v>
      </c>
      <c r="C7" s="108">
        <v>2</v>
      </c>
      <c r="D7" s="108">
        <v>3</v>
      </c>
      <c r="E7" s="108">
        <v>4</v>
      </c>
      <c r="F7" s="108">
        <v>5</v>
      </c>
      <c r="G7" s="108">
        <v>6</v>
      </c>
      <c r="H7" s="108">
        <v>7</v>
      </c>
      <c r="I7" s="108">
        <v>8</v>
      </c>
      <c r="J7" s="108">
        <v>9</v>
      </c>
      <c r="K7" s="108">
        <v>10</v>
      </c>
      <c r="L7" s="108">
        <v>11</v>
      </c>
    </row>
    <row r="8" spans="2:12" s="109" customFormat="1" ht="30.75" customHeight="1">
      <c r="B8" s="110"/>
      <c r="C8" s="111" t="s">
        <v>159</v>
      </c>
      <c r="D8" s="111"/>
      <c r="E8" s="111"/>
      <c r="F8" s="111"/>
      <c r="G8" s="112">
        <f>SUM(G9,G10)</f>
        <v>67522991.32</v>
      </c>
      <c r="H8" s="112">
        <f>SUM(H9,H10)</f>
        <v>23241756</v>
      </c>
      <c r="I8" s="112">
        <f>SUM(I9,I10)</f>
        <v>6408148</v>
      </c>
      <c r="J8" s="112">
        <f>SUM(J9,J10)</f>
        <v>1530000</v>
      </c>
      <c r="K8" s="112">
        <f>SUM(K9,K10)</f>
        <v>1500000</v>
      </c>
      <c r="L8" s="112">
        <f>SUM(L9,L10)</f>
        <v>0</v>
      </c>
    </row>
    <row r="9" spans="2:12" s="113" customFormat="1" ht="12.75">
      <c r="B9" s="114"/>
      <c r="C9" s="115" t="s">
        <v>160</v>
      </c>
      <c r="D9" s="115"/>
      <c r="E9" s="115"/>
      <c r="F9" s="115"/>
      <c r="G9" s="116">
        <f>SUM(G12,G75,G80)</f>
        <v>1868108.32</v>
      </c>
      <c r="H9" s="116">
        <f>SUM(H12,H75,H80)</f>
        <v>468185</v>
      </c>
      <c r="I9" s="116">
        <f>SUM(I12,I75,I80)</f>
        <v>55620</v>
      </c>
      <c r="J9" s="116">
        <f>SUM(J12,J75,J80)</f>
        <v>30000</v>
      </c>
      <c r="K9" s="116">
        <f>SUM(K12,K75,K80)</f>
        <v>0</v>
      </c>
      <c r="L9" s="116">
        <f>SUM(L12,L75,L80)</f>
        <v>0</v>
      </c>
    </row>
    <row r="10" spans="2:16" s="113" customFormat="1" ht="12.75">
      <c r="B10" s="114"/>
      <c r="C10" s="115" t="s">
        <v>161</v>
      </c>
      <c r="D10" s="115"/>
      <c r="E10" s="115"/>
      <c r="F10" s="115"/>
      <c r="G10" s="116">
        <f>SUM(G13,G76)</f>
        <v>65654883</v>
      </c>
      <c r="H10" s="116">
        <f>SUM(H13,H76)</f>
        <v>22773571</v>
      </c>
      <c r="I10" s="116">
        <f>SUM(I13,I76)</f>
        <v>6352528</v>
      </c>
      <c r="J10" s="116">
        <f>SUM(J13,J76)</f>
        <v>1500000</v>
      </c>
      <c r="K10" s="116">
        <f>SUM(K13,K76)</f>
        <v>1500000</v>
      </c>
      <c r="L10" s="116">
        <f>SUM(L13,L76)</f>
        <v>0</v>
      </c>
      <c r="M10" s="117"/>
      <c r="N10" s="117"/>
      <c r="O10" s="117"/>
      <c r="P10" s="117"/>
    </row>
    <row r="11" spans="2:12" s="113" customFormat="1" ht="12.75">
      <c r="B11" s="114"/>
      <c r="C11" s="118" t="s">
        <v>162</v>
      </c>
      <c r="D11" s="118"/>
      <c r="E11" s="118"/>
      <c r="F11" s="118"/>
      <c r="G11" s="119">
        <f>SUM(G12,G13)</f>
        <v>66822991.32</v>
      </c>
      <c r="H11" s="119">
        <f>SUM(H12,H13)</f>
        <v>23049756</v>
      </c>
      <c r="I11" s="119">
        <f>SUM(I12,I13)</f>
        <v>6408148</v>
      </c>
      <c r="J11" s="119">
        <f>SUM(J12,J13)</f>
        <v>1530000</v>
      </c>
      <c r="K11" s="119">
        <f>SUM(K12,K13)</f>
        <v>1500000</v>
      </c>
      <c r="L11" s="119">
        <f>SUM(L12,L13)</f>
        <v>0</v>
      </c>
    </row>
    <row r="12" spans="2:12" s="113" customFormat="1" ht="12.75">
      <c r="B12" s="114"/>
      <c r="C12" s="120" t="s">
        <v>160</v>
      </c>
      <c r="D12" s="120"/>
      <c r="E12" s="120"/>
      <c r="F12" s="120"/>
      <c r="G12" s="116">
        <f>SUM(G15,G57,G60)</f>
        <v>1168108.32</v>
      </c>
      <c r="H12" s="116">
        <f>SUM(H15,H57,H60)</f>
        <v>276185</v>
      </c>
      <c r="I12" s="116">
        <f>SUM(I15,I57,I60)</f>
        <v>55620</v>
      </c>
      <c r="J12" s="116">
        <f>SUM(J15,J57,J60)</f>
        <v>30000</v>
      </c>
      <c r="K12" s="116">
        <f>SUM(K15,K57,K60)</f>
        <v>0</v>
      </c>
      <c r="L12" s="116">
        <f>SUM(L15,L57,L60)</f>
        <v>0</v>
      </c>
    </row>
    <row r="13" spans="2:12" s="113" customFormat="1" ht="12.75">
      <c r="B13" s="114"/>
      <c r="C13" s="120" t="s">
        <v>161</v>
      </c>
      <c r="D13" s="120"/>
      <c r="E13" s="120"/>
      <c r="F13" s="120"/>
      <c r="G13" s="116">
        <f>SUM(G16,G58,G61)</f>
        <v>65654883</v>
      </c>
      <c r="H13" s="116">
        <f>SUM(H16,H58,H61)</f>
        <v>22773571</v>
      </c>
      <c r="I13" s="116">
        <f>SUM(I16,I58,I61)</f>
        <v>6352528</v>
      </c>
      <c r="J13" s="116">
        <f>SUM(J16,J58,J61)</f>
        <v>1500000</v>
      </c>
      <c r="K13" s="116">
        <f>SUM(K16,K58,K61)</f>
        <v>1500000</v>
      </c>
      <c r="L13" s="116">
        <f>SUM(L16,L58,L61)</f>
        <v>0</v>
      </c>
    </row>
    <row r="14" spans="2:12" s="121" customFormat="1" ht="30.75" customHeight="1">
      <c r="B14" s="122"/>
      <c r="C14" s="123" t="s">
        <v>163</v>
      </c>
      <c r="D14" s="123"/>
      <c r="E14" s="123"/>
      <c r="F14" s="123"/>
      <c r="G14" s="119">
        <f>SUM(G15,G16)</f>
        <v>57722991.32</v>
      </c>
      <c r="H14" s="119">
        <f>SUM(H15,H16)</f>
        <v>21329756</v>
      </c>
      <c r="I14" s="119">
        <f>SUM(I15,I16)</f>
        <v>3618148</v>
      </c>
      <c r="J14" s="119">
        <f>SUM(J15,J16)</f>
        <v>30000</v>
      </c>
      <c r="K14" s="119">
        <f>SUM(K15,K16)</f>
        <v>0</v>
      </c>
      <c r="L14" s="119">
        <f>SUM(L15,L16)</f>
        <v>0</v>
      </c>
    </row>
    <row r="15" spans="2:12" s="121" customFormat="1" ht="12.75">
      <c r="B15" s="122"/>
      <c r="C15" s="124" t="s">
        <v>164</v>
      </c>
      <c r="D15" s="124"/>
      <c r="E15" s="124"/>
      <c r="F15" s="124"/>
      <c r="G15" s="116">
        <f>SUM(G18,G21,G24,G27,G30,G33,G36,G39,G42,G45,G48,G51,G54)</f>
        <v>1168108.32</v>
      </c>
      <c r="H15" s="116">
        <f>SUM(H18,H21,H24,H27,H30,H33,H36,H39,H42,H45,H48,H51,H54)</f>
        <v>276185</v>
      </c>
      <c r="I15" s="116">
        <f>SUM(I18,I21,I24,I27,I30,I33,I36,I39,I42,I45,I48,I51,I54)</f>
        <v>55620</v>
      </c>
      <c r="J15" s="116">
        <f>SUM(J18,J21,J24,J27,J30,J33,J36,J39,J42,J45,J48,J51,J54)</f>
        <v>30000</v>
      </c>
      <c r="K15" s="116">
        <f>SUM(K18,K21,K24,K27,K30,K33,K36,K39,K42,K45,K48,K51,K54)</f>
        <v>0</v>
      </c>
      <c r="L15" s="116">
        <f>SUM(L18,L21,L24,L27,L30,L33,L36,L39,L42,L45,L48,L51,L54)</f>
        <v>0</v>
      </c>
    </row>
    <row r="16" spans="2:12" s="121" customFormat="1" ht="12.75">
      <c r="B16" s="122"/>
      <c r="C16" s="124" t="s">
        <v>165</v>
      </c>
      <c r="D16" s="124"/>
      <c r="E16" s="124"/>
      <c r="F16" s="124"/>
      <c r="G16" s="116">
        <f>SUM(G19,G22,G25,G28,G31,G34,G37,G40,G43,G46,G49,G52,G55)</f>
        <v>56554883</v>
      </c>
      <c r="H16" s="116">
        <f>SUM(H19,H22,H25,H28,H31,H34,H37,H40,H43,H46,H49,H52,H55)</f>
        <v>21053571</v>
      </c>
      <c r="I16" s="116">
        <f>SUM(I19,I22,I25,I28,I31,I34,I37,I40,I43,I46,I49,I52,I55)</f>
        <v>3562528</v>
      </c>
      <c r="J16" s="116">
        <f>SUM(J19,J22,J25,J28,J31,J34,J37,J40,J43,J46,J49,J52,J55)</f>
        <v>0</v>
      </c>
      <c r="K16" s="116">
        <f>SUM(K19,K22,K25,K28,K31,K34,K37,K40,K43,K46,K49,K52,K55)</f>
        <v>0</v>
      </c>
      <c r="L16" s="116">
        <f>SUM(L19,L22,L25,L28,L31,L34,L37,L40,L43,L46,L49,L52,L55)</f>
        <v>0</v>
      </c>
    </row>
    <row r="17" spans="2:12" s="121" customFormat="1" ht="88.5" customHeight="1">
      <c r="B17" s="122"/>
      <c r="C17" s="125" t="s">
        <v>166</v>
      </c>
      <c r="D17" s="126" t="s">
        <v>167</v>
      </c>
      <c r="E17" s="127">
        <v>2011</v>
      </c>
      <c r="F17" s="128">
        <v>2012</v>
      </c>
      <c r="G17" s="129">
        <f>SUM(G18:G19)</f>
        <v>6521671</v>
      </c>
      <c r="H17" s="129">
        <f>SUM(H18:H19)</f>
        <v>5403540</v>
      </c>
      <c r="I17" s="129">
        <f>SUM(I18:I19)</f>
        <v>0</v>
      </c>
      <c r="J17" s="129">
        <f>SUM(J18:J19)</f>
        <v>0</v>
      </c>
      <c r="K17" s="129">
        <f>SUM(K18:K19)</f>
        <v>0</v>
      </c>
      <c r="L17" s="129">
        <f>SUM(L18:L19)</f>
        <v>0</v>
      </c>
    </row>
    <row r="18" spans="2:12" s="121" customFormat="1" ht="12.75">
      <c r="B18" s="122"/>
      <c r="C18" s="124" t="s">
        <v>160</v>
      </c>
      <c r="D18" s="130"/>
      <c r="E18" s="131"/>
      <c r="F18" s="132"/>
      <c r="G18" s="133">
        <v>0</v>
      </c>
      <c r="H18" s="133">
        <v>0</v>
      </c>
      <c r="I18" s="133">
        <v>0</v>
      </c>
      <c r="J18" s="133">
        <v>0</v>
      </c>
      <c r="K18" s="133">
        <v>0</v>
      </c>
      <c r="L18" s="133">
        <v>0</v>
      </c>
    </row>
    <row r="19" spans="2:12" s="121" customFormat="1" ht="15.75" customHeight="1">
      <c r="B19" s="122"/>
      <c r="C19" s="124" t="s">
        <v>161</v>
      </c>
      <c r="D19" s="130"/>
      <c r="E19" s="131"/>
      <c r="F19" s="132"/>
      <c r="G19" s="133">
        <v>6521671</v>
      </c>
      <c r="H19" s="133">
        <v>5403540</v>
      </c>
      <c r="I19" s="133">
        <v>0</v>
      </c>
      <c r="J19" s="133">
        <v>0</v>
      </c>
      <c r="K19" s="133">
        <v>0</v>
      </c>
      <c r="L19" s="133">
        <v>0</v>
      </c>
    </row>
    <row r="20" spans="2:12" s="121" customFormat="1" ht="91.5" customHeight="1">
      <c r="B20" s="122"/>
      <c r="C20" s="125" t="s">
        <v>168</v>
      </c>
      <c r="D20" s="126" t="s">
        <v>167</v>
      </c>
      <c r="E20" s="127">
        <v>2010</v>
      </c>
      <c r="F20" s="128">
        <v>2012</v>
      </c>
      <c r="G20" s="129">
        <f>SUM(G21:G22)</f>
        <v>3260000</v>
      </c>
      <c r="H20" s="129">
        <f>SUM(H21:H22)</f>
        <v>304220</v>
      </c>
      <c r="I20" s="129">
        <f>SUM(I21:I22)</f>
        <v>0</v>
      </c>
      <c r="J20" s="129">
        <f>SUM(J21:J22)</f>
        <v>0</v>
      </c>
      <c r="K20" s="129">
        <f>SUM(K21:K22)</f>
        <v>0</v>
      </c>
      <c r="L20" s="129">
        <f>SUM(L21:L22)</f>
        <v>0</v>
      </c>
    </row>
    <row r="21" spans="2:12" s="121" customFormat="1" ht="12.75">
      <c r="B21" s="122"/>
      <c r="C21" s="124" t="s">
        <v>160</v>
      </c>
      <c r="D21" s="130"/>
      <c r="E21" s="131"/>
      <c r="F21" s="132"/>
      <c r="G21" s="134">
        <v>0</v>
      </c>
      <c r="H21" s="133">
        <v>0</v>
      </c>
      <c r="I21" s="133">
        <v>0</v>
      </c>
      <c r="J21" s="133">
        <v>0</v>
      </c>
      <c r="K21" s="133">
        <v>0</v>
      </c>
      <c r="L21" s="133">
        <v>0</v>
      </c>
    </row>
    <row r="22" spans="2:12" ht="12.75">
      <c r="B22" s="122"/>
      <c r="C22" s="124" t="s">
        <v>161</v>
      </c>
      <c r="D22" s="130"/>
      <c r="E22" s="131"/>
      <c r="F22" s="132"/>
      <c r="G22" s="133">
        <v>3260000</v>
      </c>
      <c r="H22" s="133">
        <v>304220</v>
      </c>
      <c r="I22" s="133">
        <v>0</v>
      </c>
      <c r="J22" s="133">
        <v>0</v>
      </c>
      <c r="K22" s="133">
        <v>0</v>
      </c>
      <c r="L22" s="133">
        <v>0</v>
      </c>
    </row>
    <row r="23" spans="2:12" ht="92.25" customHeight="1">
      <c r="B23" s="122"/>
      <c r="C23" s="125" t="s">
        <v>169</v>
      </c>
      <c r="D23" s="126" t="s">
        <v>167</v>
      </c>
      <c r="E23" s="127">
        <v>2008</v>
      </c>
      <c r="F23" s="128">
        <v>2012</v>
      </c>
      <c r="G23" s="129">
        <f>SUM(G24:G25)</f>
        <v>6837213</v>
      </c>
      <c r="H23" s="129">
        <f>SUM(H24:H25)</f>
        <v>1600267</v>
      </c>
      <c r="I23" s="129">
        <f>SUM(I24:I25)</f>
        <v>0</v>
      </c>
      <c r="J23" s="129">
        <f>SUM(J24:J25)</f>
        <v>0</v>
      </c>
      <c r="K23" s="129">
        <f>SUM(K24:K25)</f>
        <v>0</v>
      </c>
      <c r="L23" s="129">
        <f>SUM(L24:L25)</f>
        <v>0</v>
      </c>
    </row>
    <row r="24" spans="2:12" ht="12.75">
      <c r="B24" s="122"/>
      <c r="C24" s="124" t="s">
        <v>160</v>
      </c>
      <c r="D24" s="130"/>
      <c r="E24" s="131"/>
      <c r="F24" s="132"/>
      <c r="G24" s="133">
        <v>0</v>
      </c>
      <c r="H24" s="133">
        <v>0</v>
      </c>
      <c r="I24" s="133">
        <v>0</v>
      </c>
      <c r="J24" s="133">
        <v>0</v>
      </c>
      <c r="K24" s="133">
        <v>0</v>
      </c>
      <c r="L24" s="133">
        <v>0</v>
      </c>
    </row>
    <row r="25" spans="2:12" ht="12.75">
      <c r="B25" s="122"/>
      <c r="C25" s="124" t="s">
        <v>161</v>
      </c>
      <c r="D25" s="130"/>
      <c r="E25" s="131"/>
      <c r="F25" s="132"/>
      <c r="G25" s="133">
        <v>6837213</v>
      </c>
      <c r="H25" s="133">
        <v>1600267</v>
      </c>
      <c r="I25" s="133">
        <v>0</v>
      </c>
      <c r="J25" s="133">
        <v>0</v>
      </c>
      <c r="K25" s="133">
        <v>0</v>
      </c>
      <c r="L25" s="133">
        <v>0</v>
      </c>
    </row>
    <row r="26" spans="2:12" ht="104.25" customHeight="1">
      <c r="B26" s="122"/>
      <c r="C26" s="125" t="s">
        <v>170</v>
      </c>
      <c r="D26" s="126" t="s">
        <v>167</v>
      </c>
      <c r="E26" s="127">
        <v>2008</v>
      </c>
      <c r="F26" s="128">
        <v>2012</v>
      </c>
      <c r="G26" s="129">
        <f>SUM(G27:G28)</f>
        <v>22532072</v>
      </c>
      <c r="H26" s="129">
        <f>SUM(H27:H28)</f>
        <v>7983464</v>
      </c>
      <c r="I26" s="129">
        <f>SUM(I27:I28)</f>
        <v>0</v>
      </c>
      <c r="J26" s="129">
        <f>SUM(J27:J28)</f>
        <v>0</v>
      </c>
      <c r="K26" s="129"/>
      <c r="L26" s="129">
        <f>SUM(L27:L28)</f>
        <v>0</v>
      </c>
    </row>
    <row r="27" spans="2:12" ht="14.25" customHeight="1">
      <c r="B27" s="122"/>
      <c r="C27" s="124" t="s">
        <v>160</v>
      </c>
      <c r="D27" s="130"/>
      <c r="E27" s="131"/>
      <c r="F27" s="132"/>
      <c r="G27" s="133">
        <v>0</v>
      </c>
      <c r="H27" s="133">
        <v>0</v>
      </c>
      <c r="I27" s="133">
        <v>0</v>
      </c>
      <c r="J27" s="133">
        <v>0</v>
      </c>
      <c r="K27" s="133"/>
      <c r="L27" s="133">
        <v>0</v>
      </c>
    </row>
    <row r="28" spans="2:12" ht="12.75">
      <c r="B28" s="122"/>
      <c r="C28" s="124" t="s">
        <v>161</v>
      </c>
      <c r="D28" s="130"/>
      <c r="E28" s="131"/>
      <c r="F28" s="132"/>
      <c r="G28" s="133">
        <v>22532072</v>
      </c>
      <c r="H28" s="133">
        <v>7983464</v>
      </c>
      <c r="I28" s="133">
        <v>0</v>
      </c>
      <c r="J28" s="133">
        <v>0</v>
      </c>
      <c r="K28" s="133"/>
      <c r="L28" s="133">
        <v>0</v>
      </c>
    </row>
    <row r="29" spans="2:12" ht="97.5" customHeight="1">
      <c r="B29" s="122"/>
      <c r="C29" s="125" t="s">
        <v>171</v>
      </c>
      <c r="D29" s="126" t="s">
        <v>167</v>
      </c>
      <c r="E29" s="127">
        <v>2008</v>
      </c>
      <c r="F29" s="128">
        <v>2013</v>
      </c>
      <c r="G29" s="129">
        <f>SUM(G30:G31)</f>
        <v>11585671</v>
      </c>
      <c r="H29" s="129">
        <f>SUM(H30:H31)</f>
        <v>2486352</v>
      </c>
      <c r="I29" s="129">
        <f>SUM(I30:I31)</f>
        <v>1100000</v>
      </c>
      <c r="J29" s="129">
        <f>SUM(J30:J31)</f>
        <v>0</v>
      </c>
      <c r="K29" s="129">
        <f>SUM(K30:K31)</f>
        <v>0</v>
      </c>
      <c r="L29" s="129">
        <f>SUM(L30:L31)</f>
        <v>0</v>
      </c>
    </row>
    <row r="30" spans="2:12" ht="12.75">
      <c r="B30" s="122"/>
      <c r="C30" s="124" t="s">
        <v>160</v>
      </c>
      <c r="D30" s="130"/>
      <c r="E30" s="131"/>
      <c r="F30" s="132"/>
      <c r="G30" s="133">
        <v>0</v>
      </c>
      <c r="H30" s="133">
        <v>0</v>
      </c>
      <c r="I30" s="133">
        <v>0</v>
      </c>
      <c r="J30" s="133">
        <v>0</v>
      </c>
      <c r="K30" s="133">
        <v>0</v>
      </c>
      <c r="L30" s="133">
        <v>0</v>
      </c>
    </row>
    <row r="31" spans="2:12" ht="12.75">
      <c r="B31" s="122"/>
      <c r="C31" s="124" t="s">
        <v>161</v>
      </c>
      <c r="D31" s="130"/>
      <c r="E31" s="131"/>
      <c r="F31" s="132"/>
      <c r="G31" s="133">
        <v>11585671</v>
      </c>
      <c r="H31" s="133">
        <v>2486352</v>
      </c>
      <c r="I31" s="133">
        <v>1100000</v>
      </c>
      <c r="J31" s="133">
        <v>0</v>
      </c>
      <c r="K31" s="133">
        <v>0</v>
      </c>
      <c r="L31" s="133">
        <v>0</v>
      </c>
    </row>
    <row r="32" spans="2:12" ht="68.25" customHeight="1">
      <c r="B32" s="122"/>
      <c r="C32" s="125" t="s">
        <v>172</v>
      </c>
      <c r="D32" s="126" t="s">
        <v>167</v>
      </c>
      <c r="E32" s="127">
        <v>2012</v>
      </c>
      <c r="F32" s="127">
        <v>2013</v>
      </c>
      <c r="G32" s="129">
        <f>SUM(G33:G34)</f>
        <v>4351456</v>
      </c>
      <c r="H32" s="129">
        <f>SUM(H33:H34)</f>
        <v>2175728</v>
      </c>
      <c r="I32" s="129">
        <f>SUM(I33:I34)</f>
        <v>2175728</v>
      </c>
      <c r="J32" s="129">
        <f>SUM(J33:J34)</f>
        <v>0</v>
      </c>
      <c r="K32" s="129">
        <f>SUM(K33:K34)</f>
        <v>0</v>
      </c>
      <c r="L32" s="129">
        <f>SUM(L33:L34)</f>
        <v>0</v>
      </c>
    </row>
    <row r="33" spans="2:12" ht="12.75">
      <c r="B33" s="122"/>
      <c r="C33" s="124" t="s">
        <v>160</v>
      </c>
      <c r="D33" s="130"/>
      <c r="E33" s="131"/>
      <c r="F33" s="132"/>
      <c r="G33" s="133">
        <v>0</v>
      </c>
      <c r="H33" s="133">
        <v>0</v>
      </c>
      <c r="I33" s="133">
        <v>0</v>
      </c>
      <c r="J33" s="133">
        <v>0</v>
      </c>
      <c r="K33" s="133">
        <v>0</v>
      </c>
      <c r="L33" s="133">
        <v>0</v>
      </c>
    </row>
    <row r="34" spans="2:12" ht="12.75">
      <c r="B34" s="122"/>
      <c r="C34" s="124" t="s">
        <v>161</v>
      </c>
      <c r="D34" s="130"/>
      <c r="E34" s="131"/>
      <c r="F34" s="132"/>
      <c r="G34" s="133">
        <v>4351456</v>
      </c>
      <c r="H34" s="133">
        <v>2175728</v>
      </c>
      <c r="I34" s="133">
        <v>2175728</v>
      </c>
      <c r="J34" s="133">
        <v>0</v>
      </c>
      <c r="K34" s="133">
        <v>0</v>
      </c>
      <c r="L34" s="133">
        <v>0</v>
      </c>
    </row>
    <row r="35" spans="2:12" ht="82.5" customHeight="1">
      <c r="B35" s="122"/>
      <c r="C35" s="135" t="s">
        <v>173</v>
      </c>
      <c r="D35" s="126" t="s">
        <v>167</v>
      </c>
      <c r="E35" s="127">
        <v>2011</v>
      </c>
      <c r="F35" s="128">
        <v>2012</v>
      </c>
      <c r="G35" s="129">
        <f>SUM(G36:G37)</f>
        <v>860000</v>
      </c>
      <c r="H35" s="129">
        <f>SUM(H36:H37)</f>
        <v>780000</v>
      </c>
      <c r="I35" s="129">
        <f>SUM(I36:I37)</f>
        <v>0</v>
      </c>
      <c r="J35" s="129">
        <f>SUM(J36:J37)</f>
        <v>0</v>
      </c>
      <c r="K35" s="129">
        <f>SUM(K36:K37)</f>
        <v>0</v>
      </c>
      <c r="L35" s="129">
        <f>SUM(L36:L37)</f>
        <v>0</v>
      </c>
    </row>
    <row r="36" spans="2:12" ht="12.75">
      <c r="B36" s="122"/>
      <c r="C36" s="124" t="s">
        <v>160</v>
      </c>
      <c r="D36" s="130"/>
      <c r="E36" s="131"/>
      <c r="F36" s="132"/>
      <c r="G36" s="133">
        <v>0</v>
      </c>
      <c r="H36" s="133">
        <v>0</v>
      </c>
      <c r="I36" s="133">
        <v>0</v>
      </c>
      <c r="J36" s="133">
        <v>0</v>
      </c>
      <c r="K36" s="133">
        <v>0</v>
      </c>
      <c r="L36" s="133">
        <v>0</v>
      </c>
    </row>
    <row r="37" spans="2:12" ht="12.75">
      <c r="B37" s="122"/>
      <c r="C37" s="124" t="s">
        <v>161</v>
      </c>
      <c r="D37" s="130"/>
      <c r="E37" s="131"/>
      <c r="F37" s="132"/>
      <c r="G37" s="133">
        <v>860000</v>
      </c>
      <c r="H37" s="133">
        <v>780000</v>
      </c>
      <c r="I37" s="133">
        <v>0</v>
      </c>
      <c r="J37" s="133">
        <v>0</v>
      </c>
      <c r="K37" s="133">
        <v>0</v>
      </c>
      <c r="L37" s="133">
        <v>0</v>
      </c>
    </row>
    <row r="38" spans="2:12" ht="103.5" customHeight="1">
      <c r="B38" s="122"/>
      <c r="C38" s="135" t="s">
        <v>174</v>
      </c>
      <c r="D38" s="126" t="s">
        <v>167</v>
      </c>
      <c r="E38" s="127">
        <v>2012</v>
      </c>
      <c r="F38" s="128">
        <v>2013</v>
      </c>
      <c r="G38" s="129">
        <f>SUM(G39:G40)</f>
        <v>606800</v>
      </c>
      <c r="H38" s="129">
        <f>SUM(H39:H40)</f>
        <v>320000</v>
      </c>
      <c r="I38" s="129">
        <f>SUM(I39:I40)</f>
        <v>286800</v>
      </c>
      <c r="J38" s="129">
        <f>SUM(J39:J40)</f>
        <v>0</v>
      </c>
      <c r="K38" s="129">
        <f>SUM(K39:K40)</f>
        <v>0</v>
      </c>
      <c r="L38" s="129">
        <f>SUM(L39:L40)</f>
        <v>0</v>
      </c>
    </row>
    <row r="39" spans="2:12" ht="12.75">
      <c r="B39" s="122"/>
      <c r="C39" s="124" t="s">
        <v>160</v>
      </c>
      <c r="D39" s="130"/>
      <c r="E39" s="131"/>
      <c r="F39" s="132"/>
      <c r="G39" s="133">
        <v>0</v>
      </c>
      <c r="H39" s="133">
        <v>0</v>
      </c>
      <c r="I39" s="133">
        <v>0</v>
      </c>
      <c r="J39" s="133">
        <v>0</v>
      </c>
      <c r="K39" s="133">
        <v>0</v>
      </c>
      <c r="L39" s="133">
        <v>0</v>
      </c>
    </row>
    <row r="40" spans="2:12" ht="12.75">
      <c r="B40" s="122"/>
      <c r="C40" s="124" t="s">
        <v>161</v>
      </c>
      <c r="D40" s="130"/>
      <c r="E40" s="131"/>
      <c r="F40" s="132"/>
      <c r="G40" s="133">
        <v>606800</v>
      </c>
      <c r="H40" s="133">
        <v>320000</v>
      </c>
      <c r="I40" s="133">
        <v>286800</v>
      </c>
      <c r="J40" s="133">
        <v>0</v>
      </c>
      <c r="K40" s="133">
        <v>0</v>
      </c>
      <c r="L40" s="133">
        <v>0</v>
      </c>
    </row>
    <row r="41" spans="2:12" ht="111.75" customHeight="1">
      <c r="B41" s="122"/>
      <c r="C41" s="125" t="s">
        <v>175</v>
      </c>
      <c r="D41" s="126" t="s">
        <v>176</v>
      </c>
      <c r="E41" s="127">
        <v>2009</v>
      </c>
      <c r="F41" s="128">
        <v>2012</v>
      </c>
      <c r="G41" s="129">
        <f>SUM(G42:G43)</f>
        <v>120775</v>
      </c>
      <c r="H41" s="129">
        <f>SUM(H42:H43)</f>
        <v>3425</v>
      </c>
      <c r="I41" s="129">
        <f>SUM(I42:I43)</f>
        <v>0</v>
      </c>
      <c r="J41" s="129">
        <f>SUM(J42:J43)</f>
        <v>0</v>
      </c>
      <c r="K41" s="129">
        <f>SUM(K42:K43)</f>
        <v>0</v>
      </c>
      <c r="L41" s="129">
        <f>SUM(L42:L43)</f>
        <v>0</v>
      </c>
    </row>
    <row r="42" spans="2:12" ht="12.75">
      <c r="B42" s="122"/>
      <c r="C42" s="124" t="s">
        <v>160</v>
      </c>
      <c r="D42" s="131"/>
      <c r="E42" s="131"/>
      <c r="F42" s="132"/>
      <c r="G42" s="133">
        <v>120775</v>
      </c>
      <c r="H42" s="133">
        <v>3425</v>
      </c>
      <c r="I42" s="133">
        <v>0</v>
      </c>
      <c r="J42" s="133">
        <v>0</v>
      </c>
      <c r="K42" s="133">
        <v>0</v>
      </c>
      <c r="L42" s="133">
        <v>0</v>
      </c>
    </row>
    <row r="43" spans="2:12" ht="12.75">
      <c r="B43" s="122"/>
      <c r="C43" s="124" t="s">
        <v>161</v>
      </c>
      <c r="D43" s="131"/>
      <c r="E43" s="131"/>
      <c r="F43" s="132"/>
      <c r="G43" s="133">
        <v>0</v>
      </c>
      <c r="H43" s="133">
        <v>0</v>
      </c>
      <c r="I43" s="133">
        <v>0</v>
      </c>
      <c r="J43" s="133">
        <v>0</v>
      </c>
      <c r="K43" s="133">
        <v>0</v>
      </c>
      <c r="L43" s="133">
        <v>0</v>
      </c>
    </row>
    <row r="44" spans="2:12" ht="93.75" customHeight="1">
      <c r="B44" s="122"/>
      <c r="C44" s="125" t="s">
        <v>177</v>
      </c>
      <c r="D44" s="126" t="s">
        <v>178</v>
      </c>
      <c r="E44" s="127">
        <v>2010</v>
      </c>
      <c r="F44" s="128">
        <v>2012</v>
      </c>
      <c r="G44" s="129">
        <f>SUM(G45:G46)</f>
        <v>718720</v>
      </c>
      <c r="H44" s="129">
        <f>SUM(H45:H46)</f>
        <v>221440</v>
      </c>
      <c r="I44" s="129">
        <f>SUM(I45:I46)</f>
        <v>0</v>
      </c>
      <c r="J44" s="129">
        <f>SUM(J45:J46)</f>
        <v>0</v>
      </c>
      <c r="K44" s="129">
        <f>SUM(K45:K46)</f>
        <v>0</v>
      </c>
      <c r="L44" s="129">
        <f>SUM(L45:L46)</f>
        <v>0</v>
      </c>
    </row>
    <row r="45" spans="2:12" ht="12.75">
      <c r="B45" s="122"/>
      <c r="C45" s="124" t="s">
        <v>160</v>
      </c>
      <c r="D45" s="136"/>
      <c r="E45" s="131"/>
      <c r="F45" s="132"/>
      <c r="G45" s="133">
        <v>718720</v>
      </c>
      <c r="H45" s="133">
        <v>221440</v>
      </c>
      <c r="I45" s="133">
        <v>0</v>
      </c>
      <c r="J45" s="133">
        <v>0</v>
      </c>
      <c r="K45" s="133">
        <v>0</v>
      </c>
      <c r="L45" s="133">
        <v>0</v>
      </c>
    </row>
    <row r="46" spans="2:12" ht="13.5" customHeight="1">
      <c r="B46" s="122"/>
      <c r="C46" s="124" t="s">
        <v>161</v>
      </c>
      <c r="D46" s="136"/>
      <c r="E46" s="131"/>
      <c r="F46" s="132"/>
      <c r="G46" s="133">
        <v>0</v>
      </c>
      <c r="H46" s="133">
        <v>0</v>
      </c>
      <c r="I46" s="133">
        <v>0</v>
      </c>
      <c r="J46" s="133">
        <v>0</v>
      </c>
      <c r="K46" s="133">
        <v>0</v>
      </c>
      <c r="L46" s="133">
        <v>0</v>
      </c>
    </row>
    <row r="47" spans="2:12" ht="78.75" customHeight="1">
      <c r="B47" s="122"/>
      <c r="C47" s="125" t="s">
        <v>179</v>
      </c>
      <c r="D47" s="126" t="s">
        <v>180</v>
      </c>
      <c r="E47" s="127">
        <v>2010</v>
      </c>
      <c r="F47" s="128">
        <v>2013</v>
      </c>
      <c r="G47" s="129">
        <f>SUM(G48:G49)</f>
        <v>164260</v>
      </c>
      <c r="H47" s="129">
        <f>SUM(H48:H49)</f>
        <v>26020</v>
      </c>
      <c r="I47" s="129">
        <f>SUM(I48:I49)</f>
        <v>15620</v>
      </c>
      <c r="J47" s="129">
        <f>SUM(J48:J49)</f>
        <v>0</v>
      </c>
      <c r="K47" s="129">
        <f>SUM(K48:K49)</f>
        <v>0</v>
      </c>
      <c r="L47" s="129">
        <f>SUM(L48:L49)</f>
        <v>0</v>
      </c>
    </row>
    <row r="48" spans="2:12" ht="14.25" customHeight="1">
      <c r="B48" s="122"/>
      <c r="C48" s="124" t="s">
        <v>160</v>
      </c>
      <c r="D48" s="131"/>
      <c r="E48" s="131"/>
      <c r="F48" s="132"/>
      <c r="G48" s="133">
        <v>164260</v>
      </c>
      <c r="H48" s="133">
        <v>26020</v>
      </c>
      <c r="I48" s="133">
        <v>15620</v>
      </c>
      <c r="J48" s="133">
        <v>0</v>
      </c>
      <c r="K48" s="133">
        <v>0</v>
      </c>
      <c r="L48" s="133">
        <v>0</v>
      </c>
    </row>
    <row r="49" spans="2:12" ht="12" customHeight="1">
      <c r="B49" s="122"/>
      <c r="C49" s="124" t="s">
        <v>161</v>
      </c>
      <c r="D49" s="131"/>
      <c r="E49" s="131"/>
      <c r="F49" s="132"/>
      <c r="G49" s="133">
        <v>0</v>
      </c>
      <c r="H49" s="133">
        <v>0</v>
      </c>
      <c r="I49" s="133">
        <v>0</v>
      </c>
      <c r="J49" s="133">
        <v>0</v>
      </c>
      <c r="K49" s="133">
        <v>0</v>
      </c>
      <c r="L49" s="133">
        <v>0</v>
      </c>
    </row>
    <row r="50" spans="2:12" ht="78.75" customHeight="1">
      <c r="B50" s="122"/>
      <c r="C50" s="125" t="s">
        <v>181</v>
      </c>
      <c r="D50" s="126" t="s">
        <v>176</v>
      </c>
      <c r="E50" s="127">
        <v>2010</v>
      </c>
      <c r="F50" s="128">
        <v>2013</v>
      </c>
      <c r="G50" s="129">
        <f>SUM(G51:G52)</f>
        <v>120000</v>
      </c>
      <c r="H50" s="129">
        <f>SUM(H51:H52)</f>
        <v>20000</v>
      </c>
      <c r="I50" s="129">
        <f>SUM(I51:I52)</f>
        <v>40000</v>
      </c>
      <c r="J50" s="129">
        <f>SUM(J51:J52)</f>
        <v>30000</v>
      </c>
      <c r="K50" s="129">
        <f>SUM(K51:K52)</f>
        <v>0</v>
      </c>
      <c r="L50" s="129">
        <f>SUM(L51:L52)</f>
        <v>0</v>
      </c>
    </row>
    <row r="51" spans="2:12" ht="14.25" customHeight="1">
      <c r="B51" s="122"/>
      <c r="C51" s="124" t="s">
        <v>160</v>
      </c>
      <c r="D51" s="131"/>
      <c r="E51" s="131"/>
      <c r="F51" s="132"/>
      <c r="G51" s="133">
        <v>120000</v>
      </c>
      <c r="H51" s="133">
        <v>20000</v>
      </c>
      <c r="I51" s="133">
        <v>40000</v>
      </c>
      <c r="J51" s="133">
        <v>30000</v>
      </c>
      <c r="K51" s="133">
        <v>0</v>
      </c>
      <c r="L51" s="133">
        <v>0</v>
      </c>
    </row>
    <row r="52" spans="2:12" ht="12" customHeight="1">
      <c r="B52" s="122"/>
      <c r="C52" s="124" t="s">
        <v>161</v>
      </c>
      <c r="D52" s="131"/>
      <c r="E52" s="131"/>
      <c r="F52" s="132"/>
      <c r="G52" s="133">
        <v>0</v>
      </c>
      <c r="H52" s="133">
        <v>0</v>
      </c>
      <c r="I52" s="133">
        <v>0</v>
      </c>
      <c r="J52" s="133">
        <v>0</v>
      </c>
      <c r="K52" s="133">
        <v>0</v>
      </c>
      <c r="L52" s="133">
        <v>0</v>
      </c>
    </row>
    <row r="53" spans="2:12" ht="78.75" customHeight="1">
      <c r="B53" s="122"/>
      <c r="C53" s="125" t="s">
        <v>182</v>
      </c>
      <c r="D53" s="126" t="s">
        <v>176</v>
      </c>
      <c r="E53" s="127">
        <v>2010</v>
      </c>
      <c r="F53" s="128">
        <v>2012</v>
      </c>
      <c r="G53" s="129">
        <f>SUM(G54:G55)</f>
        <v>44353.32</v>
      </c>
      <c r="H53" s="129">
        <f>SUM(H54:H55)</f>
        <v>5300</v>
      </c>
      <c r="I53" s="129">
        <f>SUM(I54:I55)</f>
        <v>0</v>
      </c>
      <c r="J53" s="129">
        <f>SUM(J54:J55)</f>
        <v>0</v>
      </c>
      <c r="K53" s="129">
        <f>SUM(K54:K55)</f>
        <v>0</v>
      </c>
      <c r="L53" s="129">
        <f>SUM(L54:L55)</f>
        <v>0</v>
      </c>
    </row>
    <row r="54" spans="2:12" ht="14.25" customHeight="1">
      <c r="B54" s="122"/>
      <c r="C54" s="124" t="s">
        <v>160</v>
      </c>
      <c r="D54" s="131"/>
      <c r="E54" s="131"/>
      <c r="F54" s="132"/>
      <c r="G54" s="133">
        <v>44353.32</v>
      </c>
      <c r="H54" s="133">
        <v>5300</v>
      </c>
      <c r="I54" s="133">
        <v>0</v>
      </c>
      <c r="J54" s="133">
        <v>0</v>
      </c>
      <c r="K54" s="133">
        <v>0</v>
      </c>
      <c r="L54" s="133">
        <v>0</v>
      </c>
    </row>
    <row r="55" spans="2:12" ht="12" customHeight="1">
      <c r="B55" s="122"/>
      <c r="C55" s="124" t="s">
        <v>161</v>
      </c>
      <c r="D55" s="131"/>
      <c r="E55" s="131"/>
      <c r="F55" s="132"/>
      <c r="G55" s="133">
        <v>0</v>
      </c>
      <c r="H55" s="133">
        <v>0</v>
      </c>
      <c r="I55" s="133">
        <v>0</v>
      </c>
      <c r="J55" s="133">
        <v>0</v>
      </c>
      <c r="K55" s="133">
        <v>0</v>
      </c>
      <c r="L55" s="133">
        <v>0</v>
      </c>
    </row>
    <row r="56" spans="2:12" ht="32.25" customHeight="1">
      <c r="B56" s="137"/>
      <c r="C56" s="123" t="s">
        <v>183</v>
      </c>
      <c r="D56" s="123"/>
      <c r="E56" s="123"/>
      <c r="F56" s="123"/>
      <c r="G56" s="129">
        <f>SUM(G57:G58)</f>
        <v>0</v>
      </c>
      <c r="H56" s="129">
        <f>SUM(H57:H58)</f>
        <v>0</v>
      </c>
      <c r="I56" s="129">
        <f>SUM(I57:I58)</f>
        <v>0</v>
      </c>
      <c r="J56" s="129">
        <f>SUM(J57:J58)</f>
        <v>0</v>
      </c>
      <c r="K56" s="129">
        <f>SUM(K57:K58)</f>
        <v>0</v>
      </c>
      <c r="L56" s="129">
        <f>SUM(L57:L58)</f>
        <v>0</v>
      </c>
    </row>
    <row r="57" spans="2:12" ht="13.5" customHeight="1">
      <c r="B57" s="137"/>
      <c r="C57" s="124" t="s">
        <v>160</v>
      </c>
      <c r="D57" s="124"/>
      <c r="E57" s="124"/>
      <c r="F57" s="124"/>
      <c r="G57" s="133">
        <v>0</v>
      </c>
      <c r="H57" s="133">
        <v>0</v>
      </c>
      <c r="I57" s="133">
        <v>0</v>
      </c>
      <c r="J57" s="133">
        <v>0</v>
      </c>
      <c r="K57" s="133">
        <v>0</v>
      </c>
      <c r="L57" s="133">
        <v>0</v>
      </c>
    </row>
    <row r="58" spans="2:12" ht="13.5" customHeight="1">
      <c r="B58" s="137"/>
      <c r="C58" s="124" t="s">
        <v>161</v>
      </c>
      <c r="D58" s="124"/>
      <c r="E58" s="124"/>
      <c r="F58" s="124"/>
      <c r="G58" s="133">
        <v>0</v>
      </c>
      <c r="H58" s="133">
        <v>0</v>
      </c>
      <c r="I58" s="133">
        <v>0</v>
      </c>
      <c r="J58" s="133">
        <v>0</v>
      </c>
      <c r="K58" s="133">
        <v>0</v>
      </c>
      <c r="L58" s="133">
        <v>0</v>
      </c>
    </row>
    <row r="59" spans="2:12" ht="29.25" customHeight="1">
      <c r="B59" s="137"/>
      <c r="C59" s="138" t="s">
        <v>184</v>
      </c>
      <c r="D59" s="138"/>
      <c r="E59" s="138"/>
      <c r="F59" s="138"/>
      <c r="G59" s="129">
        <f>SUM(G60:G61)</f>
        <v>9100000</v>
      </c>
      <c r="H59" s="129">
        <f>SUM(H60:H61)</f>
        <v>1720000</v>
      </c>
      <c r="I59" s="129">
        <f>SUM(I60:I61)</f>
        <v>2790000</v>
      </c>
      <c r="J59" s="129">
        <f>SUM(J60:J61)</f>
        <v>1500000</v>
      </c>
      <c r="K59" s="129">
        <f>SUM(K60:K61)</f>
        <v>1500000</v>
      </c>
      <c r="L59" s="129">
        <f>SUM(L60:L61)</f>
        <v>0</v>
      </c>
    </row>
    <row r="60" spans="2:12" ht="12.75">
      <c r="B60" s="137"/>
      <c r="C60" s="124" t="s">
        <v>160</v>
      </c>
      <c r="D60" s="124"/>
      <c r="E60" s="124"/>
      <c r="F60" s="124"/>
      <c r="G60" s="129">
        <f>SUM(G63,G66,G69,G72)</f>
        <v>0</v>
      </c>
      <c r="H60" s="129">
        <f>SUM(H63,H66,H69,H72)</f>
        <v>0</v>
      </c>
      <c r="I60" s="129">
        <f>SUM(I63,I66,I69,I72)</f>
        <v>0</v>
      </c>
      <c r="J60" s="129">
        <f>SUM(J63,J66,J69,J72)</f>
        <v>0</v>
      </c>
      <c r="K60" s="129">
        <f>SUM(K63,K66,K69,K72)</f>
        <v>0</v>
      </c>
      <c r="L60" s="129">
        <f>SUM(L63,L66,L69,L72)</f>
        <v>0</v>
      </c>
    </row>
    <row r="61" spans="2:12" ht="12.75">
      <c r="B61" s="137"/>
      <c r="C61" s="124" t="s">
        <v>161</v>
      </c>
      <c r="D61" s="124"/>
      <c r="E61" s="124"/>
      <c r="F61" s="124"/>
      <c r="G61" s="129">
        <f>SUM(G64,G67,G70,G73)</f>
        <v>9100000</v>
      </c>
      <c r="H61" s="129">
        <f>SUM(H64,H67,H70,H73)</f>
        <v>1720000</v>
      </c>
      <c r="I61" s="129">
        <f>SUM(I64,I67,I70,I73)</f>
        <v>2790000</v>
      </c>
      <c r="J61" s="129">
        <f>SUM(J64,J67,J70,J73)</f>
        <v>1500000</v>
      </c>
      <c r="K61" s="129">
        <f>SUM(K64,K67,K70,K73)</f>
        <v>1500000</v>
      </c>
      <c r="L61" s="129">
        <f>SUM(L64,L67,L70,L73)</f>
        <v>0</v>
      </c>
    </row>
    <row r="62" spans="2:12" s="121" customFormat="1" ht="12.75">
      <c r="B62" s="139"/>
      <c r="C62" s="125" t="s">
        <v>185</v>
      </c>
      <c r="D62" s="126" t="s">
        <v>167</v>
      </c>
      <c r="E62" s="127">
        <v>2011</v>
      </c>
      <c r="F62" s="128">
        <v>2015</v>
      </c>
      <c r="G62" s="129">
        <f>SUM(G63:G64)</f>
        <v>7000000</v>
      </c>
      <c r="H62" s="129">
        <f>SUM(H63:H64)</f>
        <v>1000000</v>
      </c>
      <c r="I62" s="129">
        <f>SUM(I63:I64)</f>
        <v>1440000</v>
      </c>
      <c r="J62" s="129">
        <f>SUM(J63:J64)</f>
        <v>1500000</v>
      </c>
      <c r="K62" s="129">
        <f>SUM(K63:K64)</f>
        <v>1500000</v>
      </c>
      <c r="L62" s="129">
        <f>SUM(L63:L64)</f>
        <v>0</v>
      </c>
    </row>
    <row r="63" spans="2:12" s="121" customFormat="1" ht="12.75">
      <c r="B63" s="139"/>
      <c r="C63" s="124" t="s">
        <v>160</v>
      </c>
      <c r="D63" s="140"/>
      <c r="E63" s="141"/>
      <c r="F63" s="132"/>
      <c r="G63" s="133">
        <v>0</v>
      </c>
      <c r="H63" s="133">
        <v>0</v>
      </c>
      <c r="I63" s="133">
        <v>0</v>
      </c>
      <c r="J63" s="133">
        <v>0</v>
      </c>
      <c r="K63" s="133">
        <v>0</v>
      </c>
      <c r="L63" s="133">
        <v>0</v>
      </c>
    </row>
    <row r="64" spans="2:12" ht="12.75">
      <c r="B64" s="137"/>
      <c r="C64" s="124" t="s">
        <v>161</v>
      </c>
      <c r="D64" s="140"/>
      <c r="E64" s="141"/>
      <c r="F64" s="132"/>
      <c r="G64" s="133">
        <v>7000000</v>
      </c>
      <c r="H64" s="133">
        <v>1000000</v>
      </c>
      <c r="I64" s="133">
        <v>1440000</v>
      </c>
      <c r="J64" s="133">
        <v>1500000</v>
      </c>
      <c r="K64" s="133">
        <v>1500000</v>
      </c>
      <c r="L64" s="133">
        <v>0</v>
      </c>
    </row>
    <row r="65" spans="2:12" ht="74.25" customHeight="1">
      <c r="B65" s="122"/>
      <c r="C65" s="135" t="s">
        <v>186</v>
      </c>
      <c r="D65" s="126" t="s">
        <v>167</v>
      </c>
      <c r="E65" s="127">
        <v>2011</v>
      </c>
      <c r="F65" s="128">
        <v>2013</v>
      </c>
      <c r="G65" s="129">
        <f>SUM(G66:G67)</f>
        <v>1450000</v>
      </c>
      <c r="H65" s="129">
        <f>SUM(H66:H67)</f>
        <v>670000</v>
      </c>
      <c r="I65" s="129">
        <f>SUM(I66:I67)</f>
        <v>750000</v>
      </c>
      <c r="J65" s="129">
        <f>SUM(J66:J67)</f>
        <v>0</v>
      </c>
      <c r="K65" s="129">
        <f>SUM(K66:K67)</f>
        <v>0</v>
      </c>
      <c r="L65" s="129">
        <f>SUM(L66:L67)</f>
        <v>0</v>
      </c>
    </row>
    <row r="66" spans="2:12" ht="12.75">
      <c r="B66" s="122"/>
      <c r="C66" s="124" t="s">
        <v>160</v>
      </c>
      <c r="D66" s="130"/>
      <c r="E66" s="131"/>
      <c r="F66" s="132"/>
      <c r="G66" s="133">
        <v>0</v>
      </c>
      <c r="H66" s="133">
        <v>0</v>
      </c>
      <c r="I66" s="133">
        <v>0</v>
      </c>
      <c r="J66" s="133">
        <v>0</v>
      </c>
      <c r="K66" s="133">
        <v>0</v>
      </c>
      <c r="L66" s="133">
        <v>0</v>
      </c>
    </row>
    <row r="67" spans="2:12" ht="12.75">
      <c r="B67" s="122"/>
      <c r="C67" s="124" t="s">
        <v>161</v>
      </c>
      <c r="D67" s="130"/>
      <c r="E67" s="131"/>
      <c r="F67" s="132"/>
      <c r="G67" s="133">
        <v>1450000</v>
      </c>
      <c r="H67" s="133">
        <v>670000</v>
      </c>
      <c r="I67" s="133">
        <v>750000</v>
      </c>
      <c r="J67" s="133">
        <v>0</v>
      </c>
      <c r="K67" s="133">
        <v>0</v>
      </c>
      <c r="L67" s="133">
        <v>0</v>
      </c>
    </row>
    <row r="68" spans="2:12" ht="12.75">
      <c r="B68" s="137"/>
      <c r="C68" s="135" t="s">
        <v>187</v>
      </c>
      <c r="D68" s="126" t="s">
        <v>167</v>
      </c>
      <c r="E68" s="127">
        <v>2012</v>
      </c>
      <c r="F68" s="128">
        <v>2013</v>
      </c>
      <c r="G68" s="142">
        <f>SUM(G69:G70)</f>
        <v>650000</v>
      </c>
      <c r="H68" s="142">
        <f>SUM(H69:H70)</f>
        <v>50000</v>
      </c>
      <c r="I68" s="142">
        <f>SUM(I69:I70)</f>
        <v>600000</v>
      </c>
      <c r="J68" s="142">
        <f>SUM(J69:J70)</f>
        <v>0</v>
      </c>
      <c r="K68" s="142">
        <f>SUM(K69:K70)</f>
        <v>0</v>
      </c>
      <c r="L68" s="142">
        <f>SUM(L69:L70)</f>
        <v>0</v>
      </c>
    </row>
    <row r="69" spans="2:12" ht="12.75">
      <c r="B69" s="137"/>
      <c r="C69" s="124" t="s">
        <v>160</v>
      </c>
      <c r="D69" s="124"/>
      <c r="E69" s="124"/>
      <c r="F69" s="124"/>
      <c r="G69" s="133">
        <v>0</v>
      </c>
      <c r="H69" s="133">
        <v>0</v>
      </c>
      <c r="I69" s="133">
        <v>0</v>
      </c>
      <c r="J69" s="133">
        <v>0</v>
      </c>
      <c r="K69" s="133">
        <v>0</v>
      </c>
      <c r="L69" s="133">
        <v>0</v>
      </c>
    </row>
    <row r="70" spans="2:12" ht="12.75">
      <c r="B70" s="137"/>
      <c r="C70" s="124" t="s">
        <v>161</v>
      </c>
      <c r="D70" s="124"/>
      <c r="E70" s="124"/>
      <c r="F70" s="124"/>
      <c r="G70" s="133">
        <v>650000</v>
      </c>
      <c r="H70" s="133">
        <v>50000</v>
      </c>
      <c r="I70" s="133">
        <v>600000</v>
      </c>
      <c r="J70" s="133">
        <v>0</v>
      </c>
      <c r="K70" s="133">
        <v>0</v>
      </c>
      <c r="L70" s="133">
        <v>0</v>
      </c>
    </row>
    <row r="71" spans="2:12" ht="2.25" customHeight="1">
      <c r="B71" s="137"/>
      <c r="C71" s="135"/>
      <c r="D71" s="126"/>
      <c r="E71" s="127">
        <v>0</v>
      </c>
      <c r="F71" s="128">
        <v>0</v>
      </c>
      <c r="G71" s="142">
        <f>SUM(G72:G73)</f>
        <v>0</v>
      </c>
      <c r="H71" s="142">
        <f>SUM(H72:H73)</f>
        <v>0</v>
      </c>
      <c r="I71" s="142">
        <f>SUM(I72:I73)</f>
        <v>0</v>
      </c>
      <c r="J71" s="142">
        <f>SUM(J72:J73)</f>
        <v>0</v>
      </c>
      <c r="K71" s="142">
        <f>SUM(K72:K73)</f>
        <v>0</v>
      </c>
      <c r="L71" s="142">
        <f>SUM(L72:L73)</f>
        <v>0</v>
      </c>
    </row>
    <row r="72" spans="2:12" ht="2.25" customHeight="1">
      <c r="B72" s="137"/>
      <c r="C72" s="124" t="s">
        <v>160</v>
      </c>
      <c r="D72" s="124"/>
      <c r="E72" s="124"/>
      <c r="F72" s="124"/>
      <c r="G72" s="133">
        <v>0</v>
      </c>
      <c r="H72" s="133">
        <v>0</v>
      </c>
      <c r="I72" s="133">
        <v>0</v>
      </c>
      <c r="J72" s="133">
        <v>0</v>
      </c>
      <c r="K72" s="133">
        <v>0</v>
      </c>
      <c r="L72" s="133">
        <v>0</v>
      </c>
    </row>
    <row r="73" spans="2:12" ht="2.25" customHeight="1">
      <c r="B73" s="137"/>
      <c r="C73" s="124" t="s">
        <v>161</v>
      </c>
      <c r="D73" s="124"/>
      <c r="E73" s="124"/>
      <c r="F73" s="124"/>
      <c r="G73" s="133">
        <v>0</v>
      </c>
      <c r="H73" s="133">
        <v>0</v>
      </c>
      <c r="I73" s="133">
        <v>0</v>
      </c>
      <c r="J73" s="133">
        <v>0</v>
      </c>
      <c r="K73" s="133">
        <v>0</v>
      </c>
      <c r="L73" s="133">
        <v>0</v>
      </c>
    </row>
    <row r="74" spans="2:12" ht="43.5" customHeight="1">
      <c r="B74" s="137"/>
      <c r="C74" s="138" t="s">
        <v>188</v>
      </c>
      <c r="D74" s="138"/>
      <c r="E74" s="138"/>
      <c r="F74" s="138"/>
      <c r="G74" s="129">
        <f>SUM(G75:G76)</f>
        <v>0</v>
      </c>
      <c r="H74" s="129">
        <f>SUM(H75:H76)</f>
        <v>0</v>
      </c>
      <c r="I74" s="129">
        <f>SUM(I75:I76)</f>
        <v>0</v>
      </c>
      <c r="J74" s="129">
        <f>SUM(J75:J76)</f>
        <v>0</v>
      </c>
      <c r="K74" s="129">
        <f>SUM(K75:K76)</f>
        <v>0</v>
      </c>
      <c r="L74" s="129">
        <f>SUM(L75:L76)</f>
        <v>0</v>
      </c>
    </row>
    <row r="75" spans="2:12" ht="12.75">
      <c r="B75" s="137"/>
      <c r="C75" s="124" t="s">
        <v>160</v>
      </c>
      <c r="D75" s="124"/>
      <c r="E75" s="124"/>
      <c r="F75" s="124"/>
      <c r="G75" s="134">
        <v>0</v>
      </c>
      <c r="H75" s="134">
        <v>0</v>
      </c>
      <c r="I75" s="134">
        <v>0</v>
      </c>
      <c r="J75" s="134">
        <f>SUM(J80)</f>
        <v>0</v>
      </c>
      <c r="K75" s="134">
        <f>SUM(K80)</f>
        <v>0</v>
      </c>
      <c r="L75" s="134">
        <f>SUM(L80)</f>
        <v>0</v>
      </c>
    </row>
    <row r="76" spans="2:12" ht="12.75">
      <c r="B76" s="137"/>
      <c r="C76" s="124" t="s">
        <v>161</v>
      </c>
      <c r="D76" s="124"/>
      <c r="E76" s="124"/>
      <c r="F76" s="124"/>
      <c r="G76" s="134">
        <f>SUM(G81)</f>
        <v>0</v>
      </c>
      <c r="H76" s="134">
        <f>SUM(H81)</f>
        <v>0</v>
      </c>
      <c r="I76" s="134">
        <f>SUM(I81)</f>
        <v>0</v>
      </c>
      <c r="J76" s="134">
        <f>SUM(J81)</f>
        <v>0</v>
      </c>
      <c r="K76" s="134">
        <f>SUM(K81)</f>
        <v>0</v>
      </c>
      <c r="L76" s="134">
        <f>SUM(L81)</f>
        <v>0</v>
      </c>
    </row>
    <row r="77" spans="2:12" ht="25.5" customHeight="1">
      <c r="B77" s="137"/>
      <c r="C77" s="138" t="s">
        <v>189</v>
      </c>
      <c r="D77" s="138"/>
      <c r="E77" s="138"/>
      <c r="F77" s="138"/>
      <c r="G77" s="129">
        <f>SUM(G78)</f>
        <v>700000</v>
      </c>
      <c r="H77" s="129">
        <f>SUM(H78)</f>
        <v>192000</v>
      </c>
      <c r="I77" s="129">
        <f>SUM(I78)</f>
        <v>0</v>
      </c>
      <c r="J77" s="129">
        <f>SUM(J78)</f>
        <v>0</v>
      </c>
      <c r="K77" s="129">
        <f>SUM(K78)</f>
        <v>0</v>
      </c>
      <c r="L77" s="129">
        <f>SUM(L78)</f>
        <v>0</v>
      </c>
    </row>
    <row r="78" spans="2:12" ht="12.75">
      <c r="B78" s="137"/>
      <c r="C78" s="124" t="s">
        <v>160</v>
      </c>
      <c r="D78" s="124"/>
      <c r="E78" s="124"/>
      <c r="F78" s="124"/>
      <c r="G78" s="129">
        <f>SUM(G79)</f>
        <v>700000</v>
      </c>
      <c r="H78" s="129">
        <f>SUM(H79)</f>
        <v>192000</v>
      </c>
      <c r="I78" s="129">
        <f>SUM(I79)</f>
        <v>0</v>
      </c>
      <c r="J78" s="129">
        <f>SUM(J79)</f>
        <v>0</v>
      </c>
      <c r="K78" s="129">
        <f>SUM(K79)</f>
        <v>0</v>
      </c>
      <c r="L78" s="129">
        <f>SUM(L79)</f>
        <v>0</v>
      </c>
    </row>
    <row r="79" spans="2:12" s="121" customFormat="1" ht="12.75">
      <c r="B79" s="139"/>
      <c r="C79" s="125" t="s">
        <v>190</v>
      </c>
      <c r="D79" s="126" t="s">
        <v>176</v>
      </c>
      <c r="E79" s="127">
        <v>2008</v>
      </c>
      <c r="F79" s="128">
        <v>2012</v>
      </c>
      <c r="G79" s="129">
        <f>SUM(G80:G80)</f>
        <v>700000</v>
      </c>
      <c r="H79" s="129">
        <f>SUM(H80:H80)</f>
        <v>192000</v>
      </c>
      <c r="I79" s="129">
        <f>SUM(I80:I80)</f>
        <v>0</v>
      </c>
      <c r="J79" s="129">
        <f>SUM(J80:J80)</f>
        <v>0</v>
      </c>
      <c r="K79" s="129">
        <f>SUM(K80:K80)</f>
        <v>0</v>
      </c>
      <c r="L79" s="129">
        <f>SUM(L80:L80)</f>
        <v>0</v>
      </c>
    </row>
    <row r="80" spans="2:12" s="121" customFormat="1" ht="12.75">
      <c r="B80" s="139"/>
      <c r="C80" s="124" t="s">
        <v>160</v>
      </c>
      <c r="D80" s="141"/>
      <c r="E80" s="141"/>
      <c r="F80" s="132"/>
      <c r="G80" s="133">
        <v>700000</v>
      </c>
      <c r="H80" s="133">
        <v>192000</v>
      </c>
      <c r="I80" s="133">
        <v>0</v>
      </c>
      <c r="J80" s="133">
        <v>0</v>
      </c>
      <c r="K80" s="133">
        <v>0</v>
      </c>
      <c r="L80" s="133">
        <v>0</v>
      </c>
    </row>
    <row r="81" ht="12.75">
      <c r="C81" t="s">
        <v>52</v>
      </c>
    </row>
    <row r="82" spans="8:11" ht="12.75">
      <c r="H82" s="46"/>
      <c r="I82" s="46"/>
      <c r="J82" s="46"/>
      <c r="K82" s="46"/>
    </row>
    <row r="83" spans="8:11" ht="12.75">
      <c r="H83" s="46"/>
      <c r="I83" s="46"/>
      <c r="J83" s="46"/>
      <c r="K83" s="46"/>
    </row>
  </sheetData>
  <sheetProtection selectLockedCells="1" selectUnlockedCells="1"/>
  <mergeCells count="37">
    <mergeCell ref="J1:L1"/>
    <mergeCell ref="J2:L2"/>
    <mergeCell ref="C3:L3"/>
    <mergeCell ref="B5:B6"/>
    <mergeCell ref="C5:C6"/>
    <mergeCell ref="D5:D6"/>
    <mergeCell ref="E5:F5"/>
    <mergeCell ref="G5:G6"/>
    <mergeCell ref="H5:K5"/>
    <mergeCell ref="L5:L6"/>
    <mergeCell ref="C8:F8"/>
    <mergeCell ref="C9:F9"/>
    <mergeCell ref="C10:F10"/>
    <mergeCell ref="M10:P10"/>
    <mergeCell ref="C11:F11"/>
    <mergeCell ref="C12:F12"/>
    <mergeCell ref="C13:F13"/>
    <mergeCell ref="C14:F14"/>
    <mergeCell ref="C15:F15"/>
    <mergeCell ref="C16:F16"/>
    <mergeCell ref="C56:F56"/>
    <mergeCell ref="C57:F57"/>
    <mergeCell ref="C58:F58"/>
    <mergeCell ref="C59:F59"/>
    <mergeCell ref="C60:F60"/>
    <mergeCell ref="C61:F61"/>
    <mergeCell ref="C69:F69"/>
    <mergeCell ref="C70:F70"/>
    <mergeCell ref="C72:F72"/>
    <mergeCell ref="C73:F73"/>
    <mergeCell ref="C74:F74"/>
    <mergeCell ref="C75:F75"/>
    <mergeCell ref="C76:F76"/>
    <mergeCell ref="C77:F77"/>
    <mergeCell ref="C78:F78"/>
    <mergeCell ref="H82:J82"/>
    <mergeCell ref="H83:J83"/>
  </mergeCells>
  <printOptions/>
  <pageMargins left="0.39375" right="0.2361111111111111" top="0.39375" bottom="0.2361111111111111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10054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Komocki</dc:creator>
  <cp:keywords/>
  <dc:description/>
  <cp:lastModifiedBy>Tomasz Mikielski</cp:lastModifiedBy>
  <cp:lastPrinted>2012-01-27T13:05:11Z</cp:lastPrinted>
  <dcterms:created xsi:type="dcterms:W3CDTF">2010-07-08T12:34:26Z</dcterms:created>
  <dcterms:modified xsi:type="dcterms:W3CDTF">2012-06-11T08:39:28Z</dcterms:modified>
  <cp:category/>
  <cp:version/>
  <cp:contentType/>
  <cp:contentStatus/>
  <cp:revision>80</cp:revision>
</cp:coreProperties>
</file>