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1" activeTab="3"/>
  </bookViews>
  <sheets>
    <sheet name="zał1" sheetId="1" r:id="rId1"/>
    <sheet name="zał2" sheetId="2" r:id="rId2"/>
    <sheet name="zał3" sheetId="3" r:id="rId3"/>
    <sheet name="Uchwała " sheetId="4" r:id="rId4"/>
    <sheet name="Zarządzenie" sheetId="5" r:id="rId5"/>
    <sheet name="Ogółem Zmiany w paragrafach " sheetId="6" r:id="rId6"/>
    <sheet name="zał 12 do budzetu" sheetId="7" r:id="rId7"/>
    <sheet name="zał 13 do budzetu" sheetId="8" r:id="rId8"/>
    <sheet name="Sytuacja fin. do RIO - kredyt" sheetId="9" r:id="rId9"/>
  </sheets>
  <definedNames>
    <definedName name="_xlnm.Print_Area" localSheetId="5">'Ogółem Zmiany w paragrafach '!$A$1:$I$58</definedName>
    <definedName name="_xlnm.Print_Area" localSheetId="3">'Uchwała '!$A$1:$G$34</definedName>
    <definedName name="_xlnm.Print_Area" localSheetId="0">'zał1'!$A$1:$AA$47</definedName>
    <definedName name="_xlnm.Print_Area" localSheetId="1">'zał2'!$A$1:$Z$57</definedName>
    <definedName name="_xlnm.Print_Area" localSheetId="2">'zał3'!$C$1:$L$83</definedName>
    <definedName name="Excel_BuiltIn_Print_Area_3">'zał3'!$A$1:$L$88</definedName>
    <definedName name="Excel_BuiltIn_Print_Area_6_1">'Ogółem Zmiany w paragrafach '!$A$1:$K$58</definedName>
    <definedName name="Excel_BuiltIn_Print_Area_1_1">'zał1'!$A$1:$Z$47</definedName>
    <definedName name="Excel_BuiltIn_Print_Area_6_1_1">'Ogółem Zmiany w paragrafach '!$A$1:$J$58</definedName>
    <definedName name="Excel_BuiltIn_Print_Area_1_1_1">'zał1'!$A$1:$Z$45</definedName>
    <definedName name="Excel_BuiltIn_Print_Area_2_1">'zał2'!$A$1:$Z$54</definedName>
    <definedName name="Excel_BuiltIn_Print_Area_1_1_1_1">'zał1'!$A$1:$Z$46</definedName>
  </definedNames>
  <calcPr fullCalcOnLoad="1"/>
</workbook>
</file>

<file path=xl/sharedStrings.xml><?xml version="1.0" encoding="utf-8"?>
<sst xmlns="http://schemas.openxmlformats.org/spreadsheetml/2006/main" count="624" uniqueCount="433">
  <si>
    <t>Wieloletnia Prognoza Finansowa  dla Gminy Gołdap na lata 2012–2032</t>
  </si>
  <si>
    <t xml:space="preserve">Załącznik nr 1 </t>
  </si>
  <si>
    <t>Lp</t>
  </si>
  <si>
    <t>Wyszczególnienie</t>
  </si>
  <si>
    <t>Lata objęte prognozą finansową</t>
  </si>
  <si>
    <t>Dochody ogółem, z tego:</t>
  </si>
  <si>
    <t>a</t>
  </si>
  <si>
    <t>dochody bieżące</t>
  </si>
  <si>
    <t>b</t>
  </si>
  <si>
    <t>dochody majątkowe, w tym:</t>
  </si>
  <si>
    <t>c</t>
  </si>
  <si>
    <t xml:space="preserve">   - ze sprzedaży majątku</t>
  </si>
  <si>
    <t>d</t>
  </si>
  <si>
    <t xml:space="preserve">   - z przekształcenia prawa użytkowania wieczystego przysługującego osobom fizycznym w prawo własności</t>
  </si>
  <si>
    <t>X</t>
  </si>
  <si>
    <t>Wydatki bieżące (bez odsetek i prowizji od kredytów oraz wyemitowanych papierów wartościowych, czyli kosztów obsługi długu), w tym:</t>
  </si>
  <si>
    <t>na wynagrodzenia i składki od nich naliczane</t>
  </si>
  <si>
    <t>na funkcjonowanie organów JST, w tym:</t>
  </si>
  <si>
    <t>z tytułu gwarancji i poręczeń, w tym:</t>
  </si>
  <si>
    <t>gwarancje i poręczenia podlegające wyłączeniu z limitów spłaty zobowiązań</t>
  </si>
  <si>
    <t>e</t>
  </si>
  <si>
    <t>wydatki bieżące objęte limitem na przedsięwzięcia</t>
  </si>
  <si>
    <t>Wynik budżetu po zaplanowaniu wydatków bieżących (bez obsługi długu)  poz.1– poz. 2</t>
  </si>
  <si>
    <t>Nadwyżka budżetowa z lat ubiegłych + wolne środki, w tym:</t>
  </si>
  <si>
    <t>nadwyżka budżetowa z lat ubiegłych + wolne środki angażowane na pokrycie deficytu budżetu roku bieżącego</t>
  </si>
  <si>
    <t>Inne przychody niezwiązane z zaciągnięciem długu</t>
  </si>
  <si>
    <t>Środki do dyspozycji (suma poz. 3 +poz. 4+ poz. 5)</t>
  </si>
  <si>
    <t>Spłata i obsługa długu, z tego:</t>
  </si>
  <si>
    <t xml:space="preserve">rozchody z tytułu spłaty rat kapitałowych oraz wykupu papierów wartościowych </t>
  </si>
  <si>
    <t>wydatki bieżące na obsługę długu:</t>
  </si>
  <si>
    <t>Inne rozchody (bez spłaty długu)</t>
  </si>
  <si>
    <t>Środki do dyspozycji na wydatki majątkowe (poz. 6–poz. 7–poz. 8)</t>
  </si>
  <si>
    <t>Wydatki majątkowe, w tym:</t>
  </si>
  <si>
    <t>wydatki majątkowe objęte limitem</t>
  </si>
  <si>
    <t>Przychody z kredytów, pożyczek i emisji obligacji w tym:</t>
  </si>
  <si>
    <t>11a</t>
  </si>
  <si>
    <t>na pokrycie deficytu budżetu roku bieżącego</t>
  </si>
  <si>
    <t>Wynik finansowy budżetu (poz. 9 – poz.10 + poz. 11)</t>
  </si>
  <si>
    <t>Kwota długu na koniec roku, w tym:</t>
  </si>
  <si>
    <t>łączna kwota wyłączeń z art. 243 ust. 3 pkt 1 ufp oraz art. 170 ust. 3 sufp</t>
  </si>
  <si>
    <t>kwota wyłączeń z art. 243 ust. 3 pkt 1 ufp oraz art. 169 ust. 3 sufat przypadająca na dany rok budżetowy</t>
  </si>
  <si>
    <t>Kwota zobowiązań związku współtworzonego przez jst przypadających do spłaty w danym roku budżetowym podlegających do doliczenia z art. 244 ufp</t>
  </si>
  <si>
    <t>Planowana łączna kwota spłaty zobowiązań</t>
  </si>
  <si>
    <t xml:space="preserve">Maksymalny dopuszczalny wskaźnik spłaty z art.. 243 </t>
  </si>
  <si>
    <t>x</t>
  </si>
  <si>
    <t>Spełnienie wskaźnika spłaty z art. 243 po uwzględnieniu art.. 244</t>
  </si>
  <si>
    <t>Planowana łaczna kwota spłaty zobowiązań/dochody ogółem /max 15% art.. 169 sufp/</t>
  </si>
  <si>
    <t>Zadłuzenie/dochody ogółem (poz. 13-poz. 13a):poz. 1 /max. 60% art.. 170 sufp/</t>
  </si>
  <si>
    <t>Wydatki bieżące razem (poz. 2 + poz. 7b)</t>
  </si>
  <si>
    <t>Wydatki ogółem (poz. 10+ poz. 19)</t>
  </si>
  <si>
    <t>Wynik budżetu (poz. 1 – poz. 20)</t>
  </si>
  <si>
    <t>Przychody budżetu</t>
  </si>
  <si>
    <t>Rozchody budżetu (poz. 7a + poz. 8)</t>
  </si>
  <si>
    <t>Sporządził Piotr Komocki</t>
  </si>
  <si>
    <t>wyd bieżące z zał nr 2</t>
  </si>
  <si>
    <t xml:space="preserve">odsetki </t>
  </si>
  <si>
    <t xml:space="preserve">Prowizje  od kredytu </t>
  </si>
  <si>
    <t>Odsetki + prowizje</t>
  </si>
  <si>
    <t>Wyd – odsetki  WIERSZ 10</t>
  </si>
  <si>
    <t>nadwyżka z roku bieżącego (zał2)</t>
  </si>
  <si>
    <t>wolne środki</t>
  </si>
  <si>
    <t xml:space="preserve">Załącznik nr 2 </t>
  </si>
  <si>
    <t>Prognoza kwoty długu i spłat zobowiązań  na lata 2012-2032</t>
  </si>
  <si>
    <t>Burmistrza Gołdapi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</si>
  <si>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</si>
  <si>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Wykonanie na 31.12.2008 r.</t>
  </si>
  <si>
    <t>Wykonanie na 31.12.2009 r.</t>
  </si>
  <si>
    <t>Wykonanie na 31.12.2010 r.</t>
  </si>
  <si>
    <t>Wykonanie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</si>
  <si>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</si>
  <si>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</si>
  <si>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</si>
  <si>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</si>
  <si>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</si>
  <si>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</si>
  <si>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</si>
  <si>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</si>
  <si>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</si>
  <si>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</si>
  <si>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</si>
  <si>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</si>
  <si>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</si>
  <si>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</si>
  <si>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Plan na 31.12.2026 r.</t>
  </si>
  <si>
    <t>Plan na 31.12.2027 r.</t>
  </si>
  <si>
    <t>Plan na 31.12.2028 r.</t>
  </si>
  <si>
    <t>Plan na 31.12.2029 r.</t>
  </si>
  <si>
    <t>Plan na 31.12.2030 r.</t>
  </si>
  <si>
    <t>z dnia 26 lipca  2031 r</t>
  </si>
  <si>
    <t>Plan na 31.12.2032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</si>
  <si>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</si>
  <si>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</si>
  <si>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</si>
  <si>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</si>
  <si>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</si>
  <si>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</si>
  <si>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</si>
  <si>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</si>
  <si>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</si>
  <si>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</si>
  <si>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</si>
  <si>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</si>
  <si>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</si>
  <si>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</si>
  <si>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</si>
  <si>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</si>
  <si>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</si>
  <si>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</si>
  <si>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</si>
  <si>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</si>
  <si>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</si>
  <si>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</si>
  <si>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</si>
  <si>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</si>
  <si>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</si>
  <si>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</si>
  <si>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</si>
  <si>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 xml:space="preserve">  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</si>
  <si>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</si>
  <si>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</si>
  <si>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</si>
  <si>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</si>
  <si>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</si>
  <si>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</si>
  <si>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</si>
  <si>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</si>
  <si>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</si>
  <si>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</si>
  <si>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</si>
  <si>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</si>
  <si>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</si>
  <si>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</si>
  <si>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</si>
  <si>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</si>
  <si>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</si>
  <si>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</si>
  <si>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</si>
  <si>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</si>
  <si>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L. Czy spełniony jest warunek, o którym mowa w art. 243 ustawy z 27 sierpnia 2009r. dla danego roku</t>
  </si>
  <si>
    <t>*  Kredyty, pożyczki i papiery wartościowe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 **  Wolne środki - nadwyżki środków pieniężnych na rachunku bieżącym budżetu j.s.t. wynikające z rozliczeń wyemitowanych papierów wartościowych, kredytów i pożyczek z lat ubiegłych.</t>
  </si>
  <si>
    <t>Dochody bieżące-wydatki bieżące+ wolne śr.</t>
  </si>
  <si>
    <t>Na 31.12.2010</t>
  </si>
  <si>
    <t>Spłaty kredytów zaciągniętych do 2010 włącznie</t>
  </si>
  <si>
    <t>W 2011 na 21 lat</t>
  </si>
  <si>
    <t>W 2012 na 20 lat</t>
  </si>
  <si>
    <t>w tym :</t>
  </si>
  <si>
    <t>Na 31.12.2009</t>
  </si>
  <si>
    <t xml:space="preserve">Spłaty kredytów   U.E. zaciągniętych do 2010 </t>
  </si>
  <si>
    <t>W 2010 na 10 lat</t>
  </si>
  <si>
    <t xml:space="preserve">Załącznik nr 3 </t>
  </si>
  <si>
    <t>Do Uchwały Nr XXIII/138/2012
Radu Miejskiej w Gołdapi
z dnia 25 czerwca 2012r.</t>
  </si>
  <si>
    <t>Wykaz przedsięwzięć realizowanych przez Gminę Gołdap w latach 2012- 2015</t>
  </si>
  <si>
    <t xml:space="preserve">Nazwa i cel </t>
  </si>
  <si>
    <t>jednostka odpowiedzialna</t>
  </si>
  <si>
    <t>okres realizacji 
(w wierszu program/umowa)</t>
  </si>
  <si>
    <t>łączne nakłady finansowe</t>
  </si>
  <si>
    <t>limity wydatków w poszczególnych latach (wszystkie lata)</t>
  </si>
  <si>
    <t>Limit zobowiązań</t>
  </si>
  <si>
    <t>Od</t>
  </si>
  <si>
    <t>Do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</si>
  <si>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</si>
  <si>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</si>
  <si>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</si>
  <si>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</si>
  <si>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</si>
  <si>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</si>
  <si>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</si>
  <si>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r>
      <t xml:space="preserve">Program nr 1 
Modernizacja ujęcia wodnego w Gołdapi MASTERPLAN II  dla wielkich jezior Mazurskich, 
</t>
    </r>
    <r>
      <rPr>
        <sz val="11"/>
        <color indexed="8"/>
        <rFont val="Arial"/>
        <family val="2"/>
      </rPr>
      <t>Cel:
Modernizacja systemu zbiorowego zaopatrzenia w wodę</t>
    </r>
  </si>
  <si>
    <t>Wydział Infrastruktury Komunalnej w Urzędzie Miejskim w Gołdapi</t>
  </si>
  <si>
    <r>
      <t xml:space="preserve">Program nr 2 
Budowa wodociągów wiejskich w Gminie Gołdap
Pogorzel-Kozaki, Galwiecie-Botkuny, Grabowo-Kolonia
</t>
    </r>
    <r>
      <rPr>
        <sz val="11"/>
        <color indexed="8"/>
        <rFont val="Arial"/>
        <family val="2"/>
      </rPr>
      <t xml:space="preserve">Cel:
Poprawa infrastruktury warunkującej rozwój gospodarczy oraz lepsze warunki życia mieszkańców jedenastu miejscowości w Gminie Gołdap </t>
    </r>
  </si>
  <si>
    <r>
      <t>Program nr 3</t>
    </r>
    <r>
      <rPr>
        <sz val="11"/>
        <color indexed="8"/>
        <rFont val="Arial"/>
        <family val="2"/>
      </rPr>
      <t xml:space="preserve"> 
</t>
    </r>
    <r>
      <rPr>
        <b/>
        <sz val="11"/>
        <color indexed="8"/>
        <rFont val="Arial"/>
        <family val="2"/>
      </rPr>
      <t xml:space="preserve">Budowa pijalni wód mineralnych w uzdrowisku Gołdap z wykonaniem podziemnego ujęcia wód leczniczych,
</t>
    </r>
    <r>
      <rPr>
        <sz val="11"/>
        <color indexed="8"/>
        <rFont val="Arial"/>
        <family val="2"/>
      </rPr>
      <t>Cel:
Pełne wykorzystanie naturalnych walorów środowiska gminy dla zapewnienia wzrostu zamożności społeczeństwa. Rozwój infrastruktury uzdrowiskowej</t>
    </r>
  </si>
  <si>
    <r>
      <t xml:space="preserve">Program nr 4 
Rozwój funkcji uzdrowiskowej poprzez urządzenie plaży i budowę parku zdrojowego i kinezyterapeutycznego w Gołdapi
</t>
    </r>
    <r>
      <rPr>
        <sz val="11"/>
        <color indexed="8"/>
        <rFont val="Arial"/>
        <family val="2"/>
      </rPr>
      <t>Cel:
Pełne wykorzystanie naturalnych  walorów środowiska gminy dla zapewnienia wzrostu zamożności społeczeństwa. Rozwój infrastruktury uzdrowiskowej</t>
    </r>
  </si>
  <si>
    <r>
      <t xml:space="preserve">Program nr 5 
Wykonanie odwiertu solankowego i budowa tężni iw parku zdrojowym w Gołdapi
</t>
    </r>
    <r>
      <rPr>
        <sz val="11"/>
        <color indexed="8"/>
        <rFont val="Arial"/>
        <family val="2"/>
      </rPr>
      <t>Cel:
Pełne wykorzystanie naturalnych  walorów środowiska gminy dla zapewnienia wzrostu zamożności społeczeństwa. Rozwój infrastruktury uzdrowiskowej</t>
    </r>
  </si>
  <si>
    <r>
      <t xml:space="preserve">Program nr 7 Odnowa wsi Galwiecie
</t>
    </r>
    <r>
      <rPr>
        <sz val="11"/>
        <color indexed="8"/>
        <rFont val="Arial"/>
        <family val="2"/>
      </rPr>
      <t>Cel: 
Stworzenie infrastruktury społecznej, która podniesie standard życia mieszkańców, wpłynie na atrakcyjność zamieszkania, stworzy warunki rozwoju ludności oraz zaktywizuje ich zawodowo</t>
    </r>
  </si>
  <si>
    <r>
      <t xml:space="preserve">Program nr 8 Odnowa i rozwój wsi Wronki Wielkie, Rożyńsk Mały
</t>
    </r>
    <r>
      <rPr>
        <sz val="11"/>
        <color indexed="8"/>
        <rFont val="Arial"/>
        <family val="2"/>
      </rPr>
      <t>Cel: 
Stworzenie infrastruktury społecznej, która podniesie standard życia mieszkańców, wpłynie na atrakcyjność zamieszkania, stworzy warunki rozwoju ludności oraz zaktywizuje ich zawodowo</t>
    </r>
  </si>
  <si>
    <r>
      <t xml:space="preserve">Program nr 9 
Modernizacja i rozbudowa regionalnego systemu informacji turystycznej
</t>
    </r>
    <r>
      <rPr>
        <sz val="11"/>
        <color indexed="8"/>
        <rFont val="Arial"/>
        <family val="2"/>
      </rPr>
      <t>Cel:
W ramach projektu zmodernizowany zostanie regionalny system informacji turystycznej, którego zadaniem będzie ukierunkowywanie ruchu turystycznego na wskazane i promowane zasoby turystyczne Warmii i Mazur.</t>
    </r>
  </si>
  <si>
    <t>Urząd Miejski</t>
  </si>
  <si>
    <r>
      <t xml:space="preserve">Program nr 10
Wsparcie na starcie oddziałów przedszkolnych z terenów wiejskich Gminy Gołdap
</t>
    </r>
    <r>
      <rPr>
        <sz val="11"/>
        <color indexed="8"/>
        <rFont val="Arial"/>
        <family val="2"/>
      </rPr>
      <t>Cel:
Wyrównanie szans edukacyjnych i zapewnienie wysokiej jakości usług edukacyjnych świadczonych w systemie oświaty</t>
    </r>
  </si>
  <si>
    <t>Szkoła Podstawowa w Boćwince</t>
  </si>
  <si>
    <r>
      <t xml:space="preserve">Program nr 11
Mały Archimedes
</t>
    </r>
    <r>
      <rPr>
        <sz val="11"/>
        <color indexed="8"/>
        <rFont val="Arial"/>
        <family val="2"/>
      </rPr>
      <t>Cel:
Program rozwijania umiejętności uczniów w zakresie kompetencji kluczowych nauk matematyczno-przyrodniczych i przedsiębiorczości</t>
    </r>
  </si>
  <si>
    <t>Gimnazjum</t>
  </si>
  <si>
    <r>
      <t xml:space="preserve">Program nr 12
Platforma współpracy EGO SA Lider Ełk
</t>
    </r>
    <r>
      <rPr>
        <sz val="11"/>
        <color indexed="8"/>
        <rFont val="Arial"/>
        <family val="2"/>
      </rPr>
      <t>Cel:
Rozwój stałej i trwałej struktury współpracy w Polsce Północno-Wschodniej z samorządami ościennymi</t>
    </r>
  </si>
  <si>
    <r>
      <t xml:space="preserve">Program nr 13
Turystyczna sieć współpracy-klaster „Suwalszczyzna-Mazury”
</t>
    </r>
    <r>
      <rPr>
        <sz val="11"/>
        <color indexed="8"/>
        <rFont val="Arial"/>
        <family val="2"/>
      </rPr>
      <t>Cel:
Podjęcie  inicjatyw promujących postawy przedsiębiorcze</t>
    </r>
  </si>
  <si>
    <t>b) programy, projekty lub zadania związane z umowami partnerstwa publiczno-prywatnego; (razem)</t>
  </si>
  <si>
    <t>c) programy, projekty lub zadania pozostałe (inne niż wymienione w lit.a i b) (razem)</t>
  </si>
  <si>
    <r>
      <t xml:space="preserve">Program nr 1
Budowa cmentarza komunalnego
</t>
    </r>
    <r>
      <rPr>
        <sz val="11"/>
        <color indexed="8"/>
        <rFont val="Arial"/>
        <family val="2"/>
      </rPr>
      <t>Cel:
Zwiększenie ilości miejsc pochówku</t>
    </r>
  </si>
  <si>
    <r>
      <t xml:space="preserve">Program nr 2 Dokumentacja i modernizacja ulicy Sosnowej, Cisowej, Jaworowej i Akacjowej w Gołdapi
</t>
    </r>
    <r>
      <rPr>
        <sz val="11"/>
        <color indexed="8"/>
        <rFont val="Arial"/>
        <family val="2"/>
      </rPr>
      <t>Cel: 
Usprawnienie połączeń komunikacyjnych, poprawa jakości i bezpieczeństwa ruchu drogowego</t>
    </r>
  </si>
  <si>
    <t>2) umowy, których realizacja w roku budżetowym i w latach następnych jest niezbędna dla zapewnienia ciągłości działania jednostki i których płatności przypadają w okresie dłuższym niż rok; (razem)</t>
  </si>
  <si>
    <t>3) gwarancje i poręczenia udzielane przez jednostki samorządu terytorialnego(razem)</t>
  </si>
  <si>
    <r>
      <t xml:space="preserve">Umowa nr 1 
Poręczenie kredytu na rzecz Przedsiębiorstwa Wodociągów i kanalizacji w Gołdapi Sp. Z o.o. W której 100% udziałów posiada Gmina Gołdap, Kredyt zaciągnięty został na rozbudowę oczyszczalni ścieków
</t>
    </r>
    <r>
      <rPr>
        <sz val="11"/>
        <color indexed="8"/>
        <rFont val="Arial"/>
        <family val="2"/>
      </rPr>
      <t>Cel:
Umożliwienie zaciągnięcia kredytu na modernizację oczyszczalni ścieków</t>
    </r>
  </si>
  <si>
    <r>
      <t xml:space="preserve">Umowa nr 2
Poręczenie kredytu na rzecz Domu Kultury w Gołdapi, Kredyt zaciągnięty został na sfinansowanie cześci wydatków na budowę parku kulturalno-rekreacyjnego w Grabowie
</t>
    </r>
    <r>
      <rPr>
        <sz val="11"/>
        <color indexed="8"/>
        <rFont val="Arial"/>
        <family val="2"/>
      </rPr>
      <t>Cel:
Umożliwienie zaciągnięcia kredytu na dokończenie budowy parku kulturalno-rekreacyjnego w Grabowie</t>
    </r>
  </si>
  <si>
    <t xml:space="preserve">Uchwała Nr XXIII/138/2012 </t>
  </si>
  <si>
    <t>Rady Miejskiej w Gołdapi</t>
  </si>
  <si>
    <t>z dnia 25 czerwca 2012 r.</t>
  </si>
  <si>
    <t>w sprawie zmian Wieloletniej Prognozy Finansowej Gminy Gołdap
na lata 2012– 2032</t>
  </si>
  <si>
    <t>Na podstawie art. 226, art. 227, art. 231, ustawy z dnia 27 sierpnia 2009 r. o finansach publicznych (Dz. U. Nr 157, poz. 1240 z późn. zm.) w związku z art. 121 ust. 8 i art. 122 ust. 2 i 3 ustawy z dnia 27 sierpnia 2009 r. Przepisy wprowadzające ustawę o finansach publicznych (Dz. U. Nr 157, poz. 1241 z późn. zm.) oraz art. 18 ust. 2 pkt 6 ustawy z dnia 8 marca 1990 r. o samorządzie gminnym (tj. Dz. U. z 2001 r. Nr 142, poz. 1591 z późn. zm.) uchwala się co następuje:</t>
  </si>
  <si>
    <t>§ 1</t>
  </si>
  <si>
    <t xml:space="preserve"> plan dochodów o kwotę</t>
  </si>
  <si>
    <t>§ 2</t>
  </si>
  <si>
    <t xml:space="preserve"> plan wydatków o kwotę</t>
  </si>
  <si>
    <t>§ 3</t>
  </si>
  <si>
    <t>Plan dochodów budżetowych po zmianach wynosi, w tym:</t>
  </si>
  <si>
    <t xml:space="preserve">1. Plan dochodów bieżących </t>
  </si>
  <si>
    <r>
      <t xml:space="preserve">2. </t>
    </r>
    <r>
      <rPr>
        <sz val="10"/>
        <rFont val="Arial"/>
        <family val="2"/>
      </rPr>
      <t>Plan dochodów majątkowych</t>
    </r>
  </si>
  <si>
    <t>§ 4</t>
  </si>
  <si>
    <t>Plan wydatków budżetowych po zmianach wynosi  w tym:</t>
  </si>
  <si>
    <r>
      <t xml:space="preserve">1. </t>
    </r>
    <r>
      <rPr>
        <sz val="10"/>
        <rFont val="Arial"/>
        <family val="2"/>
      </rPr>
      <t xml:space="preserve">Plan wydatków bieżących </t>
    </r>
    <r>
      <rPr>
        <sz val="12"/>
        <rFont val=""/>
        <family val="1"/>
      </rPr>
      <t xml:space="preserve"> </t>
    </r>
  </si>
  <si>
    <r>
      <t xml:space="preserve">2. </t>
    </r>
    <r>
      <rPr>
        <sz val="10"/>
        <rFont val="Arial"/>
        <family val="2"/>
      </rPr>
      <t>Plan wydatków majątkowych</t>
    </r>
  </si>
  <si>
    <t>§ 5</t>
  </si>
  <si>
    <r>
      <t xml:space="preserve"> </t>
    </r>
    <r>
      <rPr>
        <sz val="9"/>
        <rFont val="Arial"/>
        <family val="2"/>
      </rPr>
      <t>Wykonanie uchwały powierza się Burmistrzowi Gołdapi</t>
    </r>
  </si>
  <si>
    <t>§ 6</t>
  </si>
  <si>
    <t>Uchwała wchodzi w życie z dniem podjęcia i podlega ogłoszeniu na tablicy ogłoszeń Urzędu Miejskiego</t>
  </si>
  <si>
    <t>Przewodniczący Rady Miejskiej</t>
  </si>
  <si>
    <t>Wojciech Hołdyński</t>
  </si>
  <si>
    <t>Zmniejszyć</t>
  </si>
  <si>
    <t>Zwiększyć</t>
  </si>
  <si>
    <t>Zarządzenie nr...............2012</t>
  </si>
  <si>
    <t>z dnia ...................... 2012 r.</t>
  </si>
  <si>
    <t>Na podstawie art. 232  ustawy z dnia 27 sierpnia 2009 r. o finansach publicznych (Dz. U. Nr 157, poz. 1240 z późn. zm.)   - zarządzam co następuje:</t>
  </si>
  <si>
    <t>Zarządzenie wchodzi w życie z dniem podjęcia i podlega ogłoszeniu na tablicy ogłoszeń Urzędu    Miejskiego.</t>
  </si>
  <si>
    <t>Burmistrz Gołdapi</t>
  </si>
  <si>
    <t>Marek Miros</t>
  </si>
  <si>
    <t xml:space="preserve">  Zmiany do Uchwały ..........2012 z dnia................. czerwca 2012</t>
  </si>
  <si>
    <t>Dochody</t>
  </si>
  <si>
    <t>Wydatki</t>
  </si>
  <si>
    <t>Jednostka</t>
  </si>
  <si>
    <t>Rozdział</t>
  </si>
  <si>
    <t>§</t>
  </si>
  <si>
    <t>zmniejszenie</t>
  </si>
  <si>
    <t>zwiększenie</t>
  </si>
  <si>
    <t>Wydatki na wynagrodzenia</t>
  </si>
  <si>
    <t>Wydatki na funkcjonowanie jst</t>
  </si>
  <si>
    <t>UM</t>
  </si>
  <si>
    <t>70005</t>
  </si>
  <si>
    <t>0770</t>
  </si>
  <si>
    <t>75704</t>
  </si>
  <si>
    <t>75075</t>
  </si>
  <si>
    <t>70004</t>
  </si>
  <si>
    <t>90001</t>
  </si>
  <si>
    <t>6297</t>
  </si>
  <si>
    <t>71035</t>
  </si>
  <si>
    <t>60016</t>
  </si>
  <si>
    <t>63001</t>
  </si>
  <si>
    <t>2337</t>
  </si>
  <si>
    <t>OPS</t>
  </si>
  <si>
    <t>85214</t>
  </si>
  <si>
    <t>św społ, zasiłki celowe</t>
  </si>
  <si>
    <t>85219</t>
  </si>
  <si>
    <t>85395</t>
  </si>
  <si>
    <t>SUMA</t>
  </si>
  <si>
    <t>PER SALDO</t>
  </si>
  <si>
    <t>do WPF</t>
  </si>
  <si>
    <t>Zmiana deficytu(+,-)</t>
  </si>
  <si>
    <t>Załączniki:</t>
  </si>
  <si>
    <t>Wynagrodzenia i poch.</t>
  </si>
  <si>
    <t>1) dochody</t>
  </si>
  <si>
    <r>
      <t>do WPF</t>
    </r>
    <r>
      <rPr>
        <sz val="10"/>
        <rFont val="Arial"/>
        <family val="2"/>
      </rPr>
      <t xml:space="preserve"> per saldo</t>
    </r>
  </si>
  <si>
    <t xml:space="preserve">2) wydatki </t>
  </si>
  <si>
    <t>§ 401, 411,412</t>
  </si>
  <si>
    <t>3)inwestycje jedn i wieloletnie</t>
  </si>
  <si>
    <t>Na funkcjonowanie jst</t>
  </si>
  <si>
    <t>4)inwestycje UE</t>
  </si>
  <si>
    <t>5) dotacje</t>
  </si>
  <si>
    <t>Rozdz. 75022-23</t>
  </si>
  <si>
    <t xml:space="preserve">6) umowy pomiedzy jst </t>
  </si>
  <si>
    <t>MINUS MAJATKOWE!!!!!!!!!!!!!!</t>
  </si>
  <si>
    <t>Dochody majątkowe</t>
  </si>
  <si>
    <t>Wydatki majątkowe</t>
  </si>
  <si>
    <t>Do WPF per saldo zmniejszenie/zwiększenie</t>
  </si>
  <si>
    <t>Dochody bieżące</t>
  </si>
  <si>
    <t>Wydatki bieżące</t>
  </si>
  <si>
    <t>Kontrola</t>
  </si>
  <si>
    <t>Do WPF per saldo   OGÓŁEM zmniejszenie/zwiększenie</t>
  </si>
  <si>
    <t>Zadania zlecone z zakresu administracji rządowej</t>
  </si>
  <si>
    <t>Załącznik nr 12
do Zarządzenia  Nr................
Burmistrza Gołdapi
z dnia...marca 2012 r.</t>
  </si>
  <si>
    <t xml:space="preserve">Prognoza kwoty długu gminy </t>
  </si>
  <si>
    <t>w złotych</t>
  </si>
  <si>
    <t>L.p.</t>
  </si>
  <si>
    <t>Rodzaj zadłużenia</t>
  </si>
  <si>
    <t xml:space="preserve"> Wykonanie  na 31.12. 2011</t>
  </si>
  <si>
    <t>1.</t>
  </si>
  <si>
    <t>Wyemitowane papiery wartościowe</t>
  </si>
  <si>
    <t>2.</t>
  </si>
  <si>
    <t>Kredyty</t>
  </si>
  <si>
    <t>3.</t>
  </si>
  <si>
    <t>Pożyczki</t>
  </si>
  <si>
    <t>4.</t>
  </si>
  <si>
    <t>Przyjęte depozyty</t>
  </si>
  <si>
    <t>5.</t>
  </si>
  <si>
    <t>Wymagalne zobowiązania:</t>
  </si>
  <si>
    <t>6.</t>
  </si>
  <si>
    <t>1) jednostek budżetowych,</t>
  </si>
  <si>
    <t>7.</t>
  </si>
  <si>
    <t>2) wynikające z:</t>
  </si>
  <si>
    <t>8.</t>
  </si>
  <si>
    <t>a) ustaw,</t>
  </si>
  <si>
    <t>9.</t>
  </si>
  <si>
    <t>b) orzeczeń sądu,</t>
  </si>
  <si>
    <t>10.</t>
  </si>
  <si>
    <t>c) udzielonych poręczeń i gwarancji,</t>
  </si>
  <si>
    <t>11.</t>
  </si>
  <si>
    <t>d) innych tytułów,</t>
  </si>
  <si>
    <t>12.</t>
  </si>
  <si>
    <t>Dochody ogółem</t>
  </si>
  <si>
    <t>13.</t>
  </si>
  <si>
    <t>Łączna kwota długu na koniec roku budżetowego</t>
  </si>
  <si>
    <t>14.</t>
  </si>
  <si>
    <t>Procentowy udział długu w dochodach</t>
  </si>
  <si>
    <t>Załącznik nr 13
do Zarządzenia  Nr................
Burmistrza Gołdapi
z dnia...marca 2012 r.</t>
  </si>
  <si>
    <t>Lata spłaty kredytu/pożyczki</t>
  </si>
  <si>
    <t>I.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</si>
  <si>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</si>
  <si>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</si>
  <si>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</si>
  <si>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</si>
  <si>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</si>
  <si>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</si>
  <si>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</si>
  <si>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</si>
  <si>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</si>
  <si>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</si>
  <si>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II.</t>
  </si>
  <si>
    <t>Wydatki ogółem</t>
  </si>
  <si>
    <t>III.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</si>
  <si>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</si>
  <si>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</si>
  <si>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</si>
  <si>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</si>
  <si>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</si>
  <si>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</si>
  <si>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</si>
  <si>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</si>
  <si>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Wykup papierów wartościowych</t>
  </si>
  <si>
    <t>IV.</t>
  </si>
  <si>
    <t>Wynik (I - II)</t>
  </si>
  <si>
    <t>V.</t>
  </si>
  <si>
    <t>Planowana łączna kwota długu, w tym:</t>
  </si>
  <si>
    <t>Dług zaciągnięty w związku ze środkami określonymi w umowie zawartej z podmiotem dysponującym funduszami strukturalnymi lub F.S.U.E.</t>
  </si>
  <si>
    <t>VI.1.</t>
  </si>
  <si>
    <r>
      <t xml:space="preserve">Dług/dochody (%) (art. 170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u.f.p. z 2005 r.)</t>
    </r>
  </si>
  <si>
    <t>VI.2.</t>
  </si>
  <si>
    <r>
      <t xml:space="preserve">Spłaty kredytów, pożyczek do dochodów (%) (art. 169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 u.f.p. z 2005 r.)</t>
    </r>
  </si>
  <si>
    <t>VII.1.</t>
  </si>
  <si>
    <r>
      <t xml:space="preserve">Dług/dochody po wyłączeniach (%) (art. 170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u.f.p. z 2005 r.)</t>
    </r>
  </si>
  <si>
    <t>VII.2.</t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</si>
  <si>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 u.f.p. z 2005 r.)</t>
    </r>
  </si>
  <si>
    <t>Urząd Miejski w Gołdapi</t>
  </si>
  <si>
    <t>Plac Zwycięstwa 14, 19-500 Gołdap</t>
  </si>
  <si>
    <t>Gołdap, dn.</t>
  </si>
  <si>
    <t>02 lutego 2012</t>
  </si>
  <si>
    <t>Sytuacja finansowa gminy Gołdap do roku 2032</t>
  </si>
  <si>
    <t>Plan na 2011
(na dzień sporządzenia syt. Fin.)</t>
  </si>
  <si>
    <t xml:space="preserve">Prognoza na 2012 </t>
  </si>
  <si>
    <t>Prognoza na 2013</t>
  </si>
  <si>
    <t>Prognoza na 2014</t>
  </si>
  <si>
    <t>Prognoza na 2015</t>
  </si>
  <si>
    <t>Prognoza na 2016</t>
  </si>
  <si>
    <t>Prognoza na 2017</t>
  </si>
  <si>
    <t>Prognoza na 2018</t>
  </si>
  <si>
    <t>Prognoza na 2019</t>
  </si>
  <si>
    <t>Prognoza na 2020</t>
  </si>
  <si>
    <t>Prognoza na 2021</t>
  </si>
  <si>
    <t>Prognoza na 2022</t>
  </si>
  <si>
    <t>Prognoza na 2023</t>
  </si>
  <si>
    <t>Prognoza na 2024</t>
  </si>
  <si>
    <t>Prognoza na 2025</t>
  </si>
  <si>
    <t>Prognoza na 2026</t>
  </si>
  <si>
    <t>Prognoza na 2027</t>
  </si>
  <si>
    <t>Prognoza na 2028</t>
  </si>
  <si>
    <t>Prognoza na 2029</t>
  </si>
  <si>
    <t>Prognoza na 2030</t>
  </si>
  <si>
    <t>Prognoza na 2031</t>
  </si>
  <si>
    <t>Prognoza na 2032</t>
  </si>
  <si>
    <t>I. Dochody ogółem, z tego:</t>
  </si>
  <si>
    <t>1. Dochody bieżące</t>
  </si>
  <si>
    <t>2. Dochody majątkowe, w tym:</t>
  </si>
  <si>
    <t>2.1. Dochody ze sprzedaży majątku</t>
  </si>
  <si>
    <t>II. Wydatki ogółem, z tego:</t>
  </si>
  <si>
    <t>1. Wydatki bieżące, w tym:</t>
  </si>
  <si>
    <t>1.1.Wydatki na obsługę długu</t>
  </si>
  <si>
    <t>2. Wydatki majątkowe</t>
  </si>
  <si>
    <t>III. Wynik budżetu (I-II)</t>
  </si>
  <si>
    <t>IV. Łączna kwota spłat zaciągniętych zobowiązań z tytułu: (1+2+3+4+5)</t>
  </si>
  <si>
    <t>1. Spłaty rat zobowiązań zaciągniętych ogółem włącznie: (1.1+1.2)</t>
  </si>
  <si>
    <t>1.1. Kredytów i pożyczek, w tym:</t>
  </si>
  <si>
    <t>1.1.1. Kredytów i pożyczek zaciągniętych na zadania finansowane z udziałem środków UE i EFTA</t>
  </si>
  <si>
    <t>1.2. Odsetki</t>
  </si>
  <si>
    <t>2. Spłaty rat zobowiązań wnioskowanych: (2.1+2.2+2.3)</t>
  </si>
  <si>
    <t>2.1. Kredytów, w tym:</t>
  </si>
  <si>
    <t>2.1.1. Kredytów zaciąganych na zadania finansowane z udziałem środków UE i EFTA</t>
  </si>
  <si>
    <t>2.2.Pożyczek, w tym:</t>
  </si>
  <si>
    <t>2.2.1. Pożyczek zaciąganych na zadania finansowane z udziałem środków UE i EFTA</t>
  </si>
  <si>
    <t>2.3. Odsetki</t>
  </si>
  <si>
    <t>3. Spłaty rat zobowiązań planowanych do zaciągnięcia  ogółem włącznie: (3.1+3.2)</t>
  </si>
  <si>
    <t>3.1. Kredytów i pożyczek, w tym:</t>
  </si>
  <si>
    <t>3.1.1. Kredytów i pożyczek zaciągniętych na zadania finansowane z udziałem środków UE i EFTA</t>
  </si>
  <si>
    <t>3.2. Odsetki</t>
  </si>
  <si>
    <t>4. Wykup papierów wartościowych (4.1+4.2), w tym:</t>
  </si>
  <si>
    <t>4.1. Wykup papierów wartościowych wyemitowanych na zadania finansowane z udziałem środków UE i EFTA</t>
  </si>
  <si>
    <t>4.2. Odsetki</t>
  </si>
  <si>
    <t>5. Wartość potencjalnych spłat kwot wynikających z udzielonych poręczeń i gwarancji</t>
  </si>
  <si>
    <t>V. Łączna kwota długu na koniec roku budżetowego, z tego:</t>
  </si>
  <si>
    <t>1. Kredyty i pożyczki, w tym:</t>
  </si>
  <si>
    <t>1.1. Kredyty i pożyczki zaciągnięte na zadania finansowane z udziałem środków UE i EFTA</t>
  </si>
  <si>
    <t>2. Papiery wartościowe, w tym:</t>
  </si>
  <si>
    <t>2.1. Papiery wartościowe wyemitowane na zadania finansowane z udziałem środków UE i EFTA</t>
  </si>
  <si>
    <t>3. Przyjęte depozyty</t>
  </si>
  <si>
    <t>4. Wymagalne zobowiązania</t>
  </si>
  <si>
    <t>VI. Kwota zobowiązań związku współtworzonego przez jst przypadających do spłaty w danym roku budżetowym, zgodnie z art. 244 ufp</t>
  </si>
  <si>
    <t>VII. Wskaźnik długu (art. 170 ust. 1 sufp) w %</t>
  </si>
  <si>
    <t>VIII. Wskaźnik długu (art. 170 ust. 3 sufp) w %</t>
  </si>
  <si>
    <t>IX. Spłaty rat kredytów i pożyczek, wykup papierów wartościowych, potencjalnych poręczeń i gwarancji / dochodów (art. 169 ust. 1 sufp) (%)</t>
  </si>
  <si>
    <t>X. Spłaty rat kredytów i pożyczek, wykup papierów wartościowych, potencjalnych poręczeń i gwarancji / dochodów (art. 169 ust. 3 sufp) (%) (  lewa strona wzoru z art 243)</t>
  </si>
  <si>
    <t>XI. Średnia arytmetyczna z ostatnich trzech lat, o której mowa w art. 243 ustawy z 27 sierpnia 2009 r.</t>
  </si>
  <si>
    <t>XII. Czy spełniony jest warunek, o którym mowa w art. 243, po uwzględnieniu art. 244 ustawy z 27 sierpnia 2009r. dla danego roku</t>
  </si>
  <si>
    <t>Sporządził: Piotr Komocki</t>
  </si>
  <si>
    <t>Podpis wnioskodawcy: ....................................................</t>
  </si>
  <si>
    <t>spłata kredytów zaciągniętych do 2011 włącznie</t>
  </si>
  <si>
    <t>w tym UE</t>
  </si>
  <si>
    <t>Odsetki 5% ( jak w WPF) od stanu na koniec roku  zaktualizowane  o odchyłkę z wiersza 78</t>
  </si>
  <si>
    <t>kontrola</t>
  </si>
  <si>
    <t>stan długu z tyt kredytu do 2011 włacznie</t>
  </si>
  <si>
    <t xml:space="preserve">spłata kredytu zaciągniętego w 2012  </t>
  </si>
  <si>
    <t>Odsetki .....% (jak w WPF) od stanu na koniec roku</t>
  </si>
  <si>
    <t>stan długu z tyt kredytu zaciągniętego w 2012</t>
  </si>
  <si>
    <t xml:space="preserve">spłata kredytu zaciągniętego w 2013z WPF  </t>
  </si>
  <si>
    <t>Odsetki 5%( jak w WPF) od stanu na koniec roku</t>
  </si>
  <si>
    <t>stan długu z tyt kredytu zaciągniętego w 2013</t>
  </si>
  <si>
    <t>Stan kredytów ogółem</t>
  </si>
  <si>
    <t>stan kredytów UE</t>
  </si>
  <si>
    <t>odsetki ogółem</t>
  </si>
  <si>
    <t>prowizje</t>
  </si>
  <si>
    <t>wydatki na obsługę długu (odsetki + prowizje) jak w WPF zał nr 1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</si>
</sst>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#,##0.00"/>
    <numFmt numFmtId="167" formatCode="0.00%"/>
    <numFmt numFmtId="168" formatCode="#,##0.00;[RED]\-#,##0.00"/>
    <numFmt numFmtId="169" formatCode="#,###.00"/>
    <numFmt numFmtId="170" formatCode="#,##0;[RED]\-#,##0"/>
    <numFmt numFmtId="171" formatCode="#,##0.00\ [$zł-415];[RED]\-#,##0.00\ [$zł-415]"/>
    <numFmt numFmtId="172" formatCode="@"/>
    <numFmt numFmtId="173" formatCode="#,##0;\-#,##0"/>
    <numFmt numFmtId="174" formatCode="D\ MMMM\ YYYY"/>
    <numFmt numFmtId="175" formatCode="#,##0.0"/>
    <numFmt numFmtId="176" formatCode="#,##0.0000"/>
  </numFmts>
  <fonts count="47">
    <font>
      <sz val="10"/>
      <name val="Arial"/>
      <family val="2"/>
    </font>
    <font>
      <b/>
      <sz val="12"/>
      <color indexed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"/>
      <name val="Czcionka tekstu podstawowego"/>
      <family val="2"/>
    </font>
    <font>
      <sz val="16"/>
      <color indexed="8"/>
      <name val="Czcionka tekstu podstawowego"/>
      <family val="0"/>
    </font>
    <font>
      <sz val="10"/>
      <name val="Times New Roman"/>
      <family val="1"/>
    </font>
    <font>
      <b/>
      <sz val="16"/>
      <color indexed="8"/>
      <name val="Czcionka tekstu podstawowego"/>
      <family val="0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14"/>
      <color indexed="8"/>
      <name val="Czcionka tekstu podstawowego"/>
      <family val="2"/>
    </font>
    <font>
      <b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Czcionka tekstu podstawowego"/>
      <family val="2"/>
    </font>
    <font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2"/>
      <name val=""/>
      <family val="1"/>
    </font>
    <font>
      <b/>
      <sz val="9"/>
      <name val="Arial"/>
      <family val="2"/>
    </font>
    <font>
      <b/>
      <u val="single"/>
      <sz val="14"/>
      <name val="Arial"/>
      <family val="2"/>
    </font>
    <font>
      <b/>
      <sz val="12"/>
      <color indexed="9"/>
      <name val="Arial"/>
      <family val="2"/>
    </font>
    <font>
      <b/>
      <u val="single"/>
      <sz val="12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3"/>
      <name val="Arial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b/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6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 wrapText="1"/>
    </xf>
    <xf numFmtId="164" fontId="0" fillId="0" borderId="0" xfId="0" applyFont="1" applyBorder="1" applyAlignment="1">
      <alignment horizontal="left" wrapText="1"/>
    </xf>
    <xf numFmtId="165" fontId="0" fillId="0" borderId="0" xfId="0" applyNumberFormat="1" applyAlignment="1">
      <alignment/>
    </xf>
    <xf numFmtId="164" fontId="0" fillId="0" borderId="0" xfId="0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 applyProtection="1">
      <alignment horizontal="center" vertical="center" wrapText="1"/>
      <protection locked="0"/>
    </xf>
    <xf numFmtId="164" fontId="3" fillId="3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/>
    </xf>
    <xf numFmtId="166" fontId="4" fillId="2" borderId="1" xfId="0" applyNumberFormat="1" applyFont="1" applyFill="1" applyBorder="1" applyAlignment="1" applyProtection="1">
      <alignment vertical="center"/>
      <protection locked="0"/>
    </xf>
    <xf numFmtId="166" fontId="0" fillId="0" borderId="1" xfId="0" applyNumberFormat="1" applyFont="1" applyFill="1" applyBorder="1" applyAlignment="1">
      <alignment horizontal="right" vertical="center"/>
    </xf>
    <xf numFmtId="164" fontId="0" fillId="0" borderId="1" xfId="0" applyFont="1" applyBorder="1" applyAlignment="1">
      <alignment horizontal="left" wrapText="1"/>
    </xf>
    <xf numFmtId="166" fontId="4" fillId="2" borderId="1" xfId="0" applyNumberFormat="1" applyFont="1" applyFill="1" applyBorder="1" applyAlignment="1" applyProtection="1">
      <alignment horizontal="center" vertical="center"/>
      <protection locked="0"/>
    </xf>
    <xf numFmtId="166" fontId="0" fillId="2" borderId="1" xfId="0" applyNumberFormat="1" applyFont="1" applyFill="1" applyBorder="1" applyAlignment="1">
      <alignment horizontal="right" vertical="center"/>
    </xf>
    <xf numFmtId="164" fontId="3" fillId="0" borderId="1" xfId="0" applyFont="1" applyBorder="1" applyAlignment="1">
      <alignment horizontal="left" wrapText="1"/>
    </xf>
    <xf numFmtId="166" fontId="4" fillId="3" borderId="1" xfId="0" applyNumberFormat="1" applyFont="1" applyFill="1" applyBorder="1" applyAlignment="1" applyProtection="1">
      <alignment vertical="center"/>
      <protection locked="0"/>
    </xf>
    <xf numFmtId="166" fontId="0" fillId="3" borderId="1" xfId="0" applyNumberFormat="1" applyFont="1" applyFill="1" applyBorder="1" applyAlignment="1">
      <alignment horizontal="right" vertical="center"/>
    </xf>
    <xf numFmtId="166" fontId="0" fillId="0" borderId="1" xfId="0" applyNumberFormat="1" applyFont="1" applyBorder="1" applyAlignment="1">
      <alignment horizontal="right" vertical="center" wrapText="1"/>
    </xf>
    <xf numFmtId="166" fontId="0" fillId="2" borderId="1" xfId="0" applyNumberFormat="1" applyFont="1" applyFill="1" applyBorder="1" applyAlignment="1">
      <alignment horizontal="right" vertical="center" wrapText="1"/>
    </xf>
    <xf numFmtId="167" fontId="0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wrapText="1"/>
    </xf>
    <xf numFmtId="167" fontId="5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top" wrapText="1"/>
    </xf>
    <xf numFmtId="168" fontId="3" fillId="0" borderId="1" xfId="0" applyNumberFormat="1" applyFont="1" applyBorder="1" applyAlignment="1">
      <alignment vertical="center"/>
    </xf>
    <xf numFmtId="164" fontId="3" fillId="0" borderId="1" xfId="0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/>
    </xf>
    <xf numFmtId="168" fontId="6" fillId="0" borderId="1" xfId="0" applyNumberFormat="1" applyFont="1" applyBorder="1" applyAlignment="1">
      <alignment vertical="center"/>
    </xf>
    <xf numFmtId="164" fontId="0" fillId="0" borderId="0" xfId="0" applyFont="1" applyBorder="1" applyAlignment="1">
      <alignment horizontal="center"/>
    </xf>
    <xf numFmtId="164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0" fillId="0" borderId="0" xfId="0" applyNumberFormat="1" applyFont="1" applyAlignment="1" applyProtection="1">
      <alignment horizontal="right"/>
      <protection hidden="1"/>
    </xf>
    <xf numFmtId="169" fontId="0" fillId="0" borderId="0" xfId="0" applyNumberFormat="1" applyFill="1" applyAlignment="1" applyProtection="1">
      <alignment/>
      <protection hidden="1"/>
    </xf>
    <xf numFmtId="169" fontId="0" fillId="2" borderId="0" xfId="0" applyNumberFormat="1" applyFill="1" applyAlignment="1" applyProtection="1">
      <alignment/>
      <protection hidden="1"/>
    </xf>
    <xf numFmtId="169" fontId="0" fillId="0" borderId="0" xfId="0" applyNumberFormat="1" applyAlignment="1" applyProtection="1">
      <alignment/>
      <protection hidden="1"/>
    </xf>
    <xf numFmtId="164" fontId="0" fillId="0" borderId="0" xfId="0" applyFont="1" applyAlignment="1" applyProtection="1">
      <alignment horizontal="right"/>
      <protection hidden="1"/>
    </xf>
    <xf numFmtId="169" fontId="0" fillId="0" borderId="0" xfId="0" applyNumberFormat="1" applyAlignment="1">
      <alignment/>
    </xf>
    <xf numFmtId="169" fontId="0" fillId="2" borderId="0" xfId="0" applyNumberFormat="1" applyFill="1" applyBorder="1" applyAlignment="1" applyProtection="1">
      <alignment vertical="center"/>
      <protection hidden="1"/>
    </xf>
    <xf numFmtId="169" fontId="0" fillId="0" borderId="0" xfId="0" applyNumberFormat="1" applyFill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wrapText="1"/>
      <protection hidden="1"/>
    </xf>
    <xf numFmtId="169" fontId="3" fillId="0" borderId="0" xfId="0" applyNumberFormat="1" applyFont="1" applyFill="1" applyBorder="1" applyAlignment="1" applyProtection="1">
      <alignment horizontal="left" wrapText="1"/>
      <protection hidden="1"/>
    </xf>
    <xf numFmtId="164" fontId="7" fillId="0" borderId="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 applyProtection="1">
      <alignment horizontal="left" vertical="center" wrapText="1"/>
      <protection/>
    </xf>
    <xf numFmtId="164" fontId="7" fillId="0" borderId="1" xfId="0" applyFont="1" applyFill="1" applyBorder="1" applyAlignment="1" applyProtection="1">
      <alignment horizontal="center" vertical="center"/>
      <protection/>
    </xf>
    <xf numFmtId="164" fontId="0" fillId="0" borderId="1" xfId="0" applyBorder="1" applyAlignment="1" applyProtection="1">
      <alignment horizontal="center" vertical="center"/>
      <protection/>
    </xf>
    <xf numFmtId="164" fontId="0" fillId="2" borderId="1" xfId="0" applyFont="1" applyFill="1" applyBorder="1" applyAlignment="1" applyProtection="1">
      <alignment horizontal="center" vertical="center" wrapText="1"/>
      <protection locked="0"/>
    </xf>
    <xf numFmtId="164" fontId="0" fillId="3" borderId="1" xfId="0" applyFont="1" applyFill="1" applyBorder="1" applyAlignment="1" applyProtection="1">
      <alignment horizontal="center" vertical="center" wrapText="1"/>
      <protection locked="0"/>
    </xf>
    <xf numFmtId="164" fontId="3" fillId="2" borderId="1" xfId="0" applyFont="1" applyFill="1" applyBorder="1" applyAlignment="1" applyProtection="1">
      <alignment vertical="center" wrapText="1"/>
      <protection/>
    </xf>
    <xf numFmtId="168" fontId="3" fillId="0" borderId="1" xfId="0" applyNumberFormat="1" applyFont="1" applyBorder="1" applyAlignment="1" applyProtection="1">
      <alignment vertical="center"/>
      <protection/>
    </xf>
    <xf numFmtId="168" fontId="3" fillId="2" borderId="1" xfId="0" applyNumberFormat="1" applyFont="1" applyFill="1" applyBorder="1" applyAlignment="1" applyProtection="1">
      <alignment vertical="center"/>
      <protection/>
    </xf>
    <xf numFmtId="164" fontId="0" fillId="2" borderId="1" xfId="0" applyFont="1" applyFill="1" applyBorder="1" applyAlignment="1" applyProtection="1">
      <alignment vertical="center" wrapText="1"/>
      <protection/>
    </xf>
    <xf numFmtId="168" fontId="0" fillId="2" borderId="1" xfId="0" applyNumberFormat="1" applyFill="1" applyBorder="1" applyAlignment="1" applyProtection="1">
      <alignment vertical="center"/>
      <protection locked="0"/>
    </xf>
    <xf numFmtId="166" fontId="0" fillId="2" borderId="1" xfId="0" applyNumberFormat="1" applyFont="1" applyFill="1" applyBorder="1" applyAlignment="1" applyProtection="1">
      <alignment vertical="center"/>
      <protection locked="0"/>
    </xf>
    <xf numFmtId="168" fontId="0" fillId="0" borderId="1" xfId="0" applyNumberFormat="1" applyFill="1" applyBorder="1" applyAlignment="1" applyProtection="1">
      <alignment vertical="center"/>
      <protection locked="0"/>
    </xf>
    <xf numFmtId="166" fontId="8" fillId="2" borderId="1" xfId="0" applyNumberFormat="1" applyFont="1" applyFill="1" applyBorder="1" applyAlignment="1">
      <alignment vertical="center"/>
    </xf>
    <xf numFmtId="170" fontId="0" fillId="0" borderId="1" xfId="0" applyNumberFormat="1" applyFill="1" applyBorder="1" applyAlignment="1" applyProtection="1">
      <alignment vertical="center"/>
      <protection locked="0"/>
    </xf>
    <xf numFmtId="168" fontId="0" fillId="2" borderId="1" xfId="0" applyNumberFormat="1" applyFill="1" applyBorder="1" applyAlignment="1" applyProtection="1">
      <alignment vertical="center" wrapText="1"/>
      <protection locked="0"/>
    </xf>
    <xf numFmtId="168" fontId="0" fillId="0" borderId="1" xfId="0" applyNumberFormat="1" applyFont="1" applyFill="1" applyBorder="1" applyAlignment="1" applyProtection="1">
      <alignment vertical="center"/>
      <protection locked="0"/>
    </xf>
    <xf numFmtId="168" fontId="0" fillId="2" borderId="1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Alignment="1">
      <alignment/>
    </xf>
    <xf numFmtId="168" fontId="3" fillId="0" borderId="1" xfId="0" applyNumberFormat="1" applyFont="1" applyFill="1" applyBorder="1" applyAlignment="1" applyProtection="1">
      <alignment vertical="center" wrapText="1"/>
      <protection locked="0"/>
    </xf>
    <xf numFmtId="168" fontId="0" fillId="0" borderId="1" xfId="0" applyNumberFormat="1" applyFill="1" applyBorder="1" applyAlignment="1" applyProtection="1">
      <alignment vertical="center" wrapText="1"/>
      <protection locked="0"/>
    </xf>
    <xf numFmtId="167" fontId="3" fillId="0" borderId="1" xfId="0" applyNumberFormat="1" applyFont="1" applyFill="1" applyBorder="1" applyAlignment="1" applyProtection="1">
      <alignment horizontal="center" vertical="center"/>
      <protection/>
    </xf>
    <xf numFmtId="167" fontId="3" fillId="0" borderId="1" xfId="0" applyNumberFormat="1" applyFont="1" applyBorder="1" applyAlignment="1" applyProtection="1">
      <alignment horizontal="center" vertical="center"/>
      <protection/>
    </xf>
    <xf numFmtId="168" fontId="3" fillId="0" borderId="1" xfId="0" applyNumberFormat="1" applyFont="1" applyFill="1" applyBorder="1" applyAlignment="1" applyProtection="1">
      <alignment vertical="center"/>
      <protection/>
    </xf>
    <xf numFmtId="168" fontId="0" fillId="2" borderId="1" xfId="0" applyNumberFormat="1" applyFill="1" applyBorder="1" applyAlignment="1" applyProtection="1">
      <alignment vertical="center"/>
      <protection/>
    </xf>
    <xf numFmtId="168" fontId="0" fillId="0" borderId="1" xfId="0" applyNumberFormat="1" applyBorder="1" applyAlignment="1" applyProtection="1">
      <alignment vertical="center"/>
      <protection/>
    </xf>
    <xf numFmtId="166" fontId="0" fillId="0" borderId="1" xfId="0" applyNumberFormat="1" applyBorder="1" applyAlignment="1" applyProtection="1">
      <alignment vertical="center"/>
      <protection/>
    </xf>
    <xf numFmtId="167" fontId="3" fillId="2" borderId="1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 horizontal="left" wrapText="1"/>
      <protection hidden="1"/>
    </xf>
    <xf numFmtId="164" fontId="0" fillId="0" borderId="0" xfId="0" applyBorder="1" applyAlignment="1" applyProtection="1">
      <alignment horizontal="left"/>
      <protection hidden="1"/>
    </xf>
    <xf numFmtId="164" fontId="3" fillId="0" borderId="0" xfId="0" applyFont="1" applyAlignment="1" applyProtection="1">
      <alignment/>
      <protection hidden="1"/>
    </xf>
    <xf numFmtId="170" fontId="3" fillId="0" borderId="0" xfId="0" applyNumberFormat="1" applyFont="1" applyAlignment="1" applyProtection="1">
      <alignment/>
      <protection hidden="1"/>
    </xf>
    <xf numFmtId="164" fontId="9" fillId="0" borderId="0" xfId="0" applyFont="1" applyBorder="1" applyAlignment="1" applyProtection="1">
      <alignment wrapText="1"/>
      <protection hidden="1"/>
    </xf>
    <xf numFmtId="166" fontId="9" fillId="2" borderId="0" xfId="0" applyNumberFormat="1" applyFont="1" applyFill="1" applyAlignment="1" applyProtection="1">
      <alignment/>
      <protection hidden="1"/>
    </xf>
    <xf numFmtId="166" fontId="0" fillId="0" borderId="0" xfId="0" applyNumberFormat="1" applyFill="1" applyAlignment="1" applyProtection="1">
      <alignment/>
      <protection hidden="1"/>
    </xf>
    <xf numFmtId="166" fontId="7" fillId="0" borderId="0" xfId="0" applyNumberFormat="1" applyFont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64" fontId="0" fillId="4" borderId="0" xfId="0" applyFont="1" applyFill="1" applyAlignment="1" applyProtection="1">
      <alignment/>
      <protection hidden="1"/>
    </xf>
    <xf numFmtId="166" fontId="0" fillId="2" borderId="0" xfId="0" applyNumberFormat="1" applyFill="1" applyAlignment="1" applyProtection="1">
      <alignment/>
      <protection hidden="1"/>
    </xf>
    <xf numFmtId="171" fontId="0" fillId="0" borderId="0" xfId="0" applyNumberFormat="1" applyAlignment="1">
      <alignment/>
    </xf>
    <xf numFmtId="166" fontId="9" fillId="0" borderId="0" xfId="0" applyNumberFormat="1" applyFont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 wrapText="1"/>
      <protection hidden="1"/>
    </xf>
    <xf numFmtId="166" fontId="9" fillId="0" borderId="0" xfId="0" applyNumberFormat="1" applyFont="1" applyFill="1" applyAlignment="1" applyProtection="1">
      <alignment/>
      <protection hidden="1"/>
    </xf>
    <xf numFmtId="164" fontId="10" fillId="0" borderId="0" xfId="0" applyFont="1" applyBorder="1" applyAlignment="1">
      <alignment/>
    </xf>
    <xf numFmtId="164" fontId="11" fillId="0" borderId="0" xfId="0" applyFont="1" applyAlignment="1">
      <alignment wrapText="1"/>
    </xf>
    <xf numFmtId="164" fontId="12" fillId="0" borderId="0" xfId="0" applyFont="1" applyBorder="1" applyAlignment="1">
      <alignment horizontal="left"/>
    </xf>
    <xf numFmtId="164" fontId="13" fillId="0" borderId="0" xfId="0" applyFont="1" applyFill="1" applyBorder="1" applyAlignment="1">
      <alignment horizontal="left" wrapText="1"/>
    </xf>
    <xf numFmtId="164" fontId="14" fillId="0" borderId="0" xfId="0" applyFont="1" applyBorder="1" applyAlignment="1">
      <alignment horizontal="left"/>
    </xf>
    <xf numFmtId="164" fontId="15" fillId="0" borderId="1" xfId="0" applyFont="1" applyBorder="1" applyAlignment="1">
      <alignment horizontal="center" vertical="center" wrapText="1"/>
    </xf>
    <xf numFmtId="164" fontId="16" fillId="0" borderId="1" xfId="0" applyFont="1" applyBorder="1" applyAlignment="1">
      <alignment horizontal="center" vertical="center" wrapText="1"/>
    </xf>
    <xf numFmtId="164" fontId="17" fillId="0" borderId="0" xfId="0" applyFont="1" applyAlignment="1">
      <alignment wrapText="1"/>
    </xf>
    <xf numFmtId="164" fontId="18" fillId="0" borderId="1" xfId="0" applyFont="1" applyBorder="1" applyAlignment="1">
      <alignment wrapText="1"/>
    </xf>
    <xf numFmtId="164" fontId="18" fillId="0" borderId="1" xfId="0" applyFont="1" applyBorder="1" applyAlignment="1">
      <alignment horizontal="left" vertical="center"/>
    </xf>
    <xf numFmtId="166" fontId="19" fillId="0" borderId="1" xfId="0" applyNumberFormat="1" applyFont="1" applyBorder="1" applyAlignment="1">
      <alignment wrapText="1"/>
    </xf>
    <xf numFmtId="164" fontId="20" fillId="0" borderId="0" xfId="0" applyFont="1" applyAlignment="1">
      <alignment/>
    </xf>
    <xf numFmtId="164" fontId="1" fillId="0" borderId="1" xfId="0" applyFont="1" applyBorder="1" applyAlignment="1">
      <alignment/>
    </xf>
    <xf numFmtId="164" fontId="21" fillId="0" borderId="1" xfId="0" applyFont="1" applyBorder="1" applyAlignment="1">
      <alignment horizontal="left"/>
    </xf>
    <xf numFmtId="166" fontId="6" fillId="0" borderId="1" xfId="0" applyNumberFormat="1" applyFont="1" applyBorder="1" applyAlignment="1">
      <alignment/>
    </xf>
    <xf numFmtId="164" fontId="20" fillId="0" borderId="0" xfId="0" applyFont="1" applyBorder="1" applyAlignment="1" applyProtection="1">
      <alignment/>
      <protection/>
    </xf>
    <xf numFmtId="164" fontId="1" fillId="0" borderId="1" xfId="0" applyFont="1" applyBorder="1" applyAlignment="1">
      <alignment horizontal="left"/>
    </xf>
    <xf numFmtId="166" fontId="22" fillId="0" borderId="1" xfId="0" applyNumberFormat="1" applyFont="1" applyBorder="1" applyAlignment="1">
      <alignment/>
    </xf>
    <xf numFmtId="164" fontId="23" fillId="0" borderId="1" xfId="0" applyFont="1" applyBorder="1" applyAlignment="1">
      <alignment horizontal="left"/>
    </xf>
    <xf numFmtId="164" fontId="24" fillId="0" borderId="0" xfId="0" applyFont="1" applyAlignment="1">
      <alignment/>
    </xf>
    <xf numFmtId="164" fontId="25" fillId="0" borderId="1" xfId="0" applyFont="1" applyBorder="1" applyAlignment="1">
      <alignment/>
    </xf>
    <xf numFmtId="164" fontId="25" fillId="0" borderId="1" xfId="0" applyFont="1" applyBorder="1" applyAlignment="1">
      <alignment horizontal="left" wrapText="1"/>
    </xf>
    <xf numFmtId="164" fontId="26" fillId="0" borderId="1" xfId="0" applyFont="1" applyBorder="1" applyAlignment="1">
      <alignment horizontal="left"/>
    </xf>
    <xf numFmtId="164" fontId="25" fillId="0" borderId="1" xfId="0" applyFont="1" applyBorder="1" applyAlignment="1">
      <alignment vertical="top" wrapText="1"/>
    </xf>
    <xf numFmtId="164" fontId="28" fillId="2" borderId="1" xfId="0" applyFont="1" applyFill="1" applyBorder="1" applyAlignment="1">
      <alignment horizontal="center" vertical="center" wrapText="1"/>
    </xf>
    <xf numFmtId="164" fontId="28" fillId="2" borderId="1" xfId="0" applyFont="1" applyFill="1" applyBorder="1" applyAlignment="1">
      <alignment horizontal="center"/>
    </xf>
    <xf numFmtId="164" fontId="28" fillId="2" borderId="1" xfId="0" applyFont="1" applyFill="1" applyBorder="1" applyAlignment="1">
      <alignment/>
    </xf>
    <xf numFmtId="166" fontId="29" fillId="0" borderId="1" xfId="0" applyNumberFormat="1" applyFont="1" applyBorder="1" applyAlignment="1">
      <alignment/>
    </xf>
    <xf numFmtId="164" fontId="28" fillId="0" borderId="1" xfId="0" applyFont="1" applyFill="1" applyBorder="1" applyAlignment="1">
      <alignment horizontal="center" vertical="center" wrapText="1"/>
    </xf>
    <xf numFmtId="164" fontId="30" fillId="0" borderId="1" xfId="0" applyFont="1" applyBorder="1" applyAlignment="1">
      <alignment horizontal="center"/>
    </xf>
    <xf numFmtId="164" fontId="30" fillId="0" borderId="1" xfId="0" applyFont="1" applyBorder="1" applyAlignment="1">
      <alignment/>
    </xf>
    <xf numFmtId="166" fontId="31" fillId="2" borderId="1" xfId="0" applyNumberFormat="1" applyFont="1" applyFill="1" applyBorder="1" applyAlignment="1">
      <alignment/>
    </xf>
    <xf numFmtId="166" fontId="5" fillId="2" borderId="1" xfId="0" applyNumberFormat="1" applyFont="1" applyFill="1" applyBorder="1" applyAlignment="1">
      <alignment/>
    </xf>
    <xf numFmtId="164" fontId="25" fillId="0" borderId="1" xfId="0" applyFont="1" applyBorder="1" applyAlignment="1">
      <alignment horizontal="left" vertical="top" wrapText="1"/>
    </xf>
    <xf numFmtId="165" fontId="29" fillId="0" borderId="1" xfId="0" applyNumberFormat="1" applyFont="1" applyBorder="1" applyAlignment="1">
      <alignment/>
    </xf>
    <xf numFmtId="165" fontId="31" fillId="2" borderId="1" xfId="0" applyNumberFormat="1" applyFont="1" applyFill="1" applyBorder="1" applyAlignment="1">
      <alignment/>
    </xf>
    <xf numFmtId="164" fontId="30" fillId="0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30" fillId="0" borderId="1" xfId="0" applyFont="1" applyBorder="1" applyAlignment="1">
      <alignment horizontal="left" wrapText="1"/>
    </xf>
    <xf numFmtId="164" fontId="24" fillId="0" borderId="1" xfId="0" applyFont="1" applyBorder="1" applyAlignment="1">
      <alignment/>
    </xf>
    <xf numFmtId="164" fontId="26" fillId="0" borderId="1" xfId="0" applyFont="1" applyFill="1" applyBorder="1" applyAlignment="1">
      <alignment horizontal="center"/>
    </xf>
    <xf numFmtId="164" fontId="26" fillId="0" borderId="1" xfId="0" applyFont="1" applyBorder="1" applyAlignment="1">
      <alignment horizontal="center"/>
    </xf>
    <xf numFmtId="166" fontId="22" fillId="0" borderId="1" xfId="0" applyNumberFormat="1" applyFont="1" applyFill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32" fillId="0" borderId="0" xfId="0" applyFont="1" applyBorder="1" applyAlignment="1">
      <alignment wrapText="1"/>
    </xf>
    <xf numFmtId="164" fontId="0" fillId="0" borderId="0" xfId="0" applyFont="1" applyAlignment="1">
      <alignment horizontal="right"/>
    </xf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71" fontId="0" fillId="0" borderId="0" xfId="0" applyNumberFormat="1" applyAlignment="1" applyProtection="1">
      <alignment/>
      <protection/>
    </xf>
    <xf numFmtId="164" fontId="0" fillId="0" borderId="0" xfId="0" applyFont="1" applyBorder="1" applyAlignment="1">
      <alignment/>
    </xf>
    <xf numFmtId="164" fontId="33" fillId="0" borderId="0" xfId="0" applyFont="1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Alignment="1">
      <alignment horizontal="right" vertical="top"/>
    </xf>
    <xf numFmtId="164" fontId="34" fillId="0" borderId="0" xfId="0" applyFont="1" applyBorder="1" applyAlignment="1">
      <alignment/>
    </xf>
    <xf numFmtId="164" fontId="0" fillId="0" borderId="0" xfId="0" applyFont="1" applyAlignment="1">
      <alignment horizontal="right" vertical="center"/>
    </xf>
    <xf numFmtId="164" fontId="32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 applyProtection="1">
      <alignment/>
      <protection/>
    </xf>
    <xf numFmtId="164" fontId="0" fillId="0" borderId="0" xfId="0" applyFont="1" applyBorder="1" applyAlignment="1">
      <alignment wrapText="1"/>
    </xf>
    <xf numFmtId="164" fontId="0" fillId="0" borderId="0" xfId="0" applyFont="1" applyAlignment="1" applyProtection="1">
      <alignment horizontal="right"/>
      <protection/>
    </xf>
    <xf numFmtId="164" fontId="5" fillId="0" borderId="0" xfId="0" applyFont="1" applyBorder="1" applyAlignment="1" applyProtection="1">
      <alignment horizontal="right"/>
      <protection/>
    </xf>
    <xf numFmtId="164" fontId="5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/>
      <protection/>
    </xf>
    <xf numFmtId="164" fontId="33" fillId="0" borderId="0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>
      <alignment horizontal="left" wrapText="1"/>
    </xf>
    <xf numFmtId="164" fontId="35" fillId="0" borderId="0" xfId="0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4" fontId="9" fillId="0" borderId="0" xfId="0" applyFont="1" applyFill="1" applyAlignment="1">
      <alignment horizontal="center" vertical="center"/>
    </xf>
    <xf numFmtId="164" fontId="36" fillId="0" borderId="0" xfId="0" applyFont="1" applyFill="1" applyAlignment="1">
      <alignment horizontal="center" vertical="center"/>
    </xf>
    <xf numFmtId="164" fontId="0" fillId="0" borderId="0" xfId="0" applyFont="1" applyBorder="1" applyAlignment="1">
      <alignment horizontal="center" wrapText="1"/>
    </xf>
    <xf numFmtId="164" fontId="3" fillId="2" borderId="1" xfId="0" applyFont="1" applyFill="1" applyBorder="1" applyAlignment="1">
      <alignment horizontal="right"/>
    </xf>
    <xf numFmtId="172" fontId="0" fillId="2" borderId="1" xfId="0" applyNumberFormat="1" applyFont="1" applyFill="1" applyBorder="1" applyAlignment="1">
      <alignment horizontal="right"/>
    </xf>
    <xf numFmtId="166" fontId="0" fillId="2" borderId="1" xfId="0" applyNumberFormat="1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0" fillId="0" borderId="0" xfId="0" applyAlignment="1">
      <alignment wrapText="1"/>
    </xf>
    <xf numFmtId="164" fontId="0" fillId="0" borderId="0" xfId="0" applyNumberFormat="1" applyAlignment="1">
      <alignment/>
    </xf>
    <xf numFmtId="164" fontId="0" fillId="0" borderId="0" xfId="0" applyFont="1" applyFill="1" applyAlignment="1">
      <alignment wrapText="1"/>
    </xf>
    <xf numFmtId="164" fontId="0" fillId="2" borderId="1" xfId="0" applyFont="1" applyFill="1" applyBorder="1" applyAlignment="1">
      <alignment horizontal="right"/>
    </xf>
    <xf numFmtId="164" fontId="0" fillId="0" borderId="0" xfId="0" applyFont="1" applyBorder="1" applyAlignment="1">
      <alignment wrapText="1"/>
    </xf>
    <xf numFmtId="172" fontId="0" fillId="2" borderId="1" xfId="0" applyNumberFormat="1" applyFont="1" applyFill="1" applyBorder="1" applyAlignment="1">
      <alignment/>
    </xf>
    <xf numFmtId="172" fontId="0" fillId="2" borderId="1" xfId="0" applyNumberFormat="1" applyFill="1" applyBorder="1" applyAlignment="1">
      <alignment horizontal="right"/>
    </xf>
    <xf numFmtId="172" fontId="0" fillId="2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/>
    </xf>
    <xf numFmtId="164" fontId="0" fillId="2" borderId="1" xfId="0" applyFill="1" applyBorder="1" applyAlignment="1">
      <alignment/>
    </xf>
    <xf numFmtId="164" fontId="37" fillId="0" borderId="2" xfId="0" applyFont="1" applyBorder="1" applyAlignment="1">
      <alignment/>
    </xf>
    <xf numFmtId="164" fontId="37" fillId="0" borderId="2" xfId="0" applyFont="1" applyFill="1" applyBorder="1" applyAlignment="1">
      <alignment/>
    </xf>
    <xf numFmtId="166" fontId="37" fillId="0" borderId="2" xfId="0" applyNumberFormat="1" applyFont="1" applyFill="1" applyBorder="1" applyAlignment="1">
      <alignment/>
    </xf>
    <xf numFmtId="164" fontId="37" fillId="2" borderId="2" xfId="0" applyFont="1" applyFill="1" applyBorder="1" applyAlignment="1">
      <alignment/>
    </xf>
    <xf numFmtId="164" fontId="37" fillId="0" borderId="1" xfId="0" applyFont="1" applyBorder="1" applyAlignment="1">
      <alignment/>
    </xf>
    <xf numFmtId="164" fontId="10" fillId="0" borderId="1" xfId="0" applyFont="1" applyBorder="1" applyAlignment="1">
      <alignment/>
    </xf>
    <xf numFmtId="168" fontId="37" fillId="0" borderId="1" xfId="0" applyNumberFormat="1" applyFont="1" applyBorder="1" applyAlignment="1">
      <alignment horizontal="center"/>
    </xf>
    <xf numFmtId="164" fontId="9" fillId="0" borderId="0" xfId="0" applyFont="1" applyBorder="1" applyAlignment="1">
      <alignment horizontal="right"/>
    </xf>
    <xf numFmtId="168" fontId="9" fillId="0" borderId="1" xfId="0" applyNumberFormat="1" applyFont="1" applyBorder="1" applyAlignment="1">
      <alignment/>
    </xf>
    <xf numFmtId="164" fontId="0" fillId="4" borderId="1" xfId="0" applyFont="1" applyFill="1" applyBorder="1" applyAlignment="1">
      <alignment/>
    </xf>
    <xf numFmtId="166" fontId="9" fillId="0" borderId="1" xfId="0" applyNumberFormat="1" applyFont="1" applyFill="1" applyBorder="1" applyAlignment="1">
      <alignment/>
    </xf>
    <xf numFmtId="169" fontId="9" fillId="0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4" fontId="3" fillId="5" borderId="1" xfId="0" applyFont="1" applyFill="1" applyBorder="1" applyAlignment="1">
      <alignment/>
    </xf>
    <xf numFmtId="168" fontId="9" fillId="0" borderId="1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2" borderId="1" xfId="0" applyFont="1" applyFill="1" applyBorder="1" applyAlignment="1">
      <alignment wrapText="1"/>
    </xf>
    <xf numFmtId="164" fontId="0" fillId="0" borderId="1" xfId="0" applyFont="1" applyBorder="1" applyAlignment="1">
      <alignment/>
    </xf>
    <xf numFmtId="164" fontId="0" fillId="2" borderId="1" xfId="0" applyFont="1" applyFill="1" applyBorder="1" applyAlignment="1">
      <alignment horizontal="center"/>
    </xf>
    <xf numFmtId="168" fontId="0" fillId="2" borderId="1" xfId="0" applyNumberFormat="1" applyFill="1" applyBorder="1" applyAlignment="1">
      <alignment/>
    </xf>
    <xf numFmtId="164" fontId="3" fillId="5" borderId="0" xfId="0" applyFont="1" applyFill="1" applyBorder="1" applyAlignment="1">
      <alignment horizontal="right" wrapText="1"/>
    </xf>
    <xf numFmtId="168" fontId="0" fillId="0" borderId="1" xfId="0" applyNumberFormat="1" applyFill="1" applyBorder="1" applyAlignment="1">
      <alignment horizontal="center"/>
    </xf>
    <xf numFmtId="164" fontId="0" fillId="0" borderId="0" xfId="0" applyFill="1" applyAlignment="1">
      <alignment/>
    </xf>
    <xf numFmtId="168" fontId="0" fillId="0" borderId="1" xfId="0" applyNumberFormat="1" applyBorder="1" applyAlignment="1">
      <alignment/>
    </xf>
    <xf numFmtId="164" fontId="0" fillId="0" borderId="1" xfId="0" applyFont="1" applyBorder="1" applyAlignment="1">
      <alignment horizontal="right"/>
    </xf>
    <xf numFmtId="168" fontId="0" fillId="0" borderId="1" xfId="0" applyNumberFormat="1" applyBorder="1" applyAlignment="1">
      <alignment horizontal="center"/>
    </xf>
    <xf numFmtId="164" fontId="3" fillId="5" borderId="1" xfId="0" applyFont="1" applyFill="1" applyBorder="1" applyAlignment="1">
      <alignment horizontal="right" wrapText="1"/>
    </xf>
    <xf numFmtId="166" fontId="0" fillId="0" borderId="2" xfId="0" applyNumberFormat="1" applyBorder="1" applyAlignment="1">
      <alignment horizontal="center" vertical="center"/>
    </xf>
    <xf numFmtId="164" fontId="0" fillId="0" borderId="0" xfId="0" applyFont="1" applyAlignment="1">
      <alignment wrapText="1"/>
    </xf>
    <xf numFmtId="164" fontId="38" fillId="0" borderId="0" xfId="0" applyFont="1" applyBorder="1" applyAlignment="1">
      <alignment horizontal="center" vertical="center"/>
    </xf>
    <xf numFmtId="164" fontId="39" fillId="0" borderId="0" xfId="0" applyFont="1" applyBorder="1" applyAlignment="1">
      <alignment horizontal="left" vertical="center" wrapText="1"/>
    </xf>
    <xf numFmtId="164" fontId="8" fillId="0" borderId="0" xfId="0" applyFont="1" applyAlignment="1">
      <alignment/>
    </xf>
    <xf numFmtId="164" fontId="8" fillId="0" borderId="0" xfId="0" applyFont="1" applyAlignment="1">
      <alignment vertical="center"/>
    </xf>
    <xf numFmtId="164" fontId="8" fillId="0" borderId="0" xfId="0" applyFont="1" applyAlignment="1">
      <alignment horizontal="right" vertical="center"/>
    </xf>
    <xf numFmtId="164" fontId="40" fillId="2" borderId="1" xfId="0" applyFont="1" applyFill="1" applyBorder="1" applyAlignment="1">
      <alignment vertical="center"/>
    </xf>
    <xf numFmtId="164" fontId="40" fillId="2" borderId="1" xfId="0" applyFont="1" applyFill="1" applyBorder="1" applyAlignment="1">
      <alignment horizontal="center" vertical="center"/>
    </xf>
    <xf numFmtId="164" fontId="40" fillId="2" borderId="1" xfId="0" applyFont="1" applyFill="1" applyBorder="1" applyAlignment="1">
      <alignment horizontal="center" vertical="center" wrapText="1"/>
    </xf>
    <xf numFmtId="164" fontId="41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164" fontId="8" fillId="0" borderId="1" xfId="0" applyFont="1" applyBorder="1" applyAlignment="1">
      <alignment vertical="center"/>
    </xf>
    <xf numFmtId="166" fontId="8" fillId="0" borderId="1" xfId="0" applyNumberFormat="1" applyFont="1" applyFill="1" applyBorder="1" applyAlignment="1">
      <alignment vertical="center"/>
    </xf>
    <xf numFmtId="164" fontId="8" fillId="0" borderId="1" xfId="0" applyFont="1" applyBorder="1" applyAlignment="1">
      <alignment horizontal="left" vertical="center" indent="1"/>
    </xf>
    <xf numFmtId="167" fontId="8" fillId="0" borderId="1" xfId="0" applyNumberFormat="1" applyFont="1" applyBorder="1" applyAlignment="1">
      <alignment horizontal="center" vertical="center"/>
    </xf>
    <xf numFmtId="164" fontId="0" fillId="0" borderId="0" xfId="0" applyAlignment="1">
      <alignment vertical="center"/>
    </xf>
    <xf numFmtId="165" fontId="0" fillId="0" borderId="0" xfId="0" applyNumberFormat="1" applyAlignment="1" applyProtection="1">
      <alignment/>
      <protection/>
    </xf>
    <xf numFmtId="164" fontId="42" fillId="0" borderId="0" xfId="0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/>
    </xf>
    <xf numFmtId="164" fontId="39" fillId="0" borderId="0" xfId="0" applyFont="1" applyBorder="1" applyAlignment="1">
      <alignment horizontal="left" wrapText="1"/>
    </xf>
    <xf numFmtId="164" fontId="40" fillId="0" borderId="0" xfId="0" applyFont="1" applyFill="1" applyAlignment="1">
      <alignment vertical="center"/>
    </xf>
    <xf numFmtId="164" fontId="40" fillId="0" borderId="0" xfId="0" applyFont="1" applyFill="1" applyAlignment="1">
      <alignment horizontal="right" vertical="center"/>
    </xf>
    <xf numFmtId="164" fontId="8" fillId="0" borderId="0" xfId="0" applyFont="1" applyFill="1" applyAlignment="1">
      <alignment horizontal="right" vertical="center"/>
    </xf>
    <xf numFmtId="164" fontId="43" fillId="2" borderId="1" xfId="0" applyFont="1" applyFill="1" applyBorder="1" applyAlignment="1">
      <alignment horizontal="center" vertical="center"/>
    </xf>
    <xf numFmtId="164" fontId="43" fillId="2" borderId="1" xfId="0" applyFont="1" applyFill="1" applyBorder="1" applyAlignment="1">
      <alignment horizontal="center" vertical="center" wrapText="1"/>
    </xf>
    <xf numFmtId="164" fontId="40" fillId="0" borderId="1" xfId="0" applyFont="1" applyBorder="1" applyAlignment="1">
      <alignment horizontal="center" vertical="top"/>
    </xf>
    <xf numFmtId="164" fontId="44" fillId="0" borderId="1" xfId="0" applyFont="1" applyBorder="1" applyAlignment="1">
      <alignment vertical="center" wrapText="1"/>
    </xf>
    <xf numFmtId="166" fontId="0" fillId="0" borderId="1" xfId="0" applyNumberFormat="1" applyBorder="1" applyAlignment="1">
      <alignment vertical="center"/>
    </xf>
    <xf numFmtId="170" fontId="0" fillId="0" borderId="1" xfId="0" applyNumberFormat="1" applyBorder="1" applyAlignment="1">
      <alignment vertical="center"/>
    </xf>
    <xf numFmtId="166" fontId="0" fillId="2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70" fontId="8" fillId="0" borderId="1" xfId="0" applyNumberFormat="1" applyFont="1" applyFill="1" applyBorder="1" applyAlignment="1">
      <alignment vertical="center"/>
    </xf>
    <xf numFmtId="170" fontId="0" fillId="0" borderId="1" xfId="0" applyNumberFormat="1" applyFill="1" applyBorder="1" applyAlignment="1">
      <alignment vertical="center"/>
    </xf>
    <xf numFmtId="164" fontId="44" fillId="0" borderId="1" xfId="0" applyFon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8" fontId="0" fillId="0" borderId="1" xfId="0" applyNumberFormat="1" applyFill="1" applyBorder="1" applyAlignment="1" applyProtection="1">
      <alignment vertical="center"/>
      <protection/>
    </xf>
    <xf numFmtId="168" fontId="0" fillId="0" borderId="1" xfId="0" applyNumberFormat="1" applyFont="1" applyFill="1" applyBorder="1" applyAlignment="1">
      <alignment horizontal="right" vertical="center" wrapText="1"/>
    </xf>
    <xf numFmtId="168" fontId="4" fillId="0" borderId="1" xfId="0" applyNumberFormat="1" applyFont="1" applyFill="1" applyBorder="1" applyAlignment="1" applyProtection="1">
      <alignment vertical="center"/>
      <protection locked="0"/>
    </xf>
    <xf numFmtId="168" fontId="0" fillId="0" borderId="1" xfId="0" applyNumberFormat="1" applyFont="1" applyFill="1" applyBorder="1" applyAlignment="1">
      <alignment horizontal="right" vertical="center"/>
    </xf>
    <xf numFmtId="168" fontId="0" fillId="0" borderId="1" xfId="0" applyNumberFormat="1" applyFill="1" applyBorder="1" applyAlignment="1">
      <alignment vertical="center"/>
    </xf>
    <xf numFmtId="166" fontId="0" fillId="0" borderId="1" xfId="0" applyNumberFormat="1" applyFill="1" applyBorder="1" applyAlignment="1">
      <alignment vertical="center"/>
    </xf>
    <xf numFmtId="166" fontId="0" fillId="0" borderId="1" xfId="0" applyNumberFormat="1" applyFont="1" applyFill="1" applyBorder="1" applyAlignment="1">
      <alignment vertical="center"/>
    </xf>
    <xf numFmtId="167" fontId="0" fillId="0" borderId="1" xfId="0" applyNumberFormat="1" applyBorder="1" applyAlignment="1">
      <alignment vertical="center"/>
    </xf>
    <xf numFmtId="164" fontId="0" fillId="0" borderId="0" xfId="0" applyAlignment="1" applyProtection="1">
      <alignment vertical="center"/>
      <protection/>
    </xf>
    <xf numFmtId="167" fontId="0" fillId="0" borderId="0" xfId="0" applyNumberFormat="1" applyAlignment="1" applyProtection="1">
      <alignment vertical="center"/>
      <protection/>
    </xf>
    <xf numFmtId="164" fontId="38" fillId="0" borderId="0" xfId="0" applyFont="1" applyAlignment="1" applyProtection="1">
      <alignment vertical="center"/>
      <protection/>
    </xf>
    <xf numFmtId="165" fontId="0" fillId="0" borderId="0" xfId="0" applyNumberFormat="1" applyAlignment="1" applyProtection="1">
      <alignment vertical="center"/>
      <protection/>
    </xf>
    <xf numFmtId="164" fontId="8" fillId="0" borderId="0" xfId="0" applyFont="1" applyAlignment="1" applyProtection="1">
      <alignment horizontal="center" vertical="center"/>
      <protection/>
    </xf>
    <xf numFmtId="164" fontId="8" fillId="0" borderId="0" xfId="0" applyFont="1" applyAlignment="1" applyProtection="1">
      <alignment vertical="center" wrapText="1"/>
      <protection/>
    </xf>
    <xf numFmtId="173" fontId="0" fillId="0" borderId="0" xfId="0" applyNumberFormat="1" applyAlignment="1" applyProtection="1">
      <alignment vertical="center"/>
      <protection/>
    </xf>
    <xf numFmtId="164" fontId="3" fillId="0" borderId="0" xfId="0" applyFont="1" applyAlignment="1">
      <alignment horizontal="center"/>
    </xf>
    <xf numFmtId="164" fontId="0" fillId="0" borderId="0" xfId="0" applyFont="1" applyBorder="1" applyAlignment="1">
      <alignment horizontal="right"/>
    </xf>
    <xf numFmtId="174" fontId="0" fillId="0" borderId="0" xfId="0" applyNumberFormat="1" applyFont="1" applyFill="1" applyBorder="1" applyAlignment="1">
      <alignment horizontal="left"/>
    </xf>
    <xf numFmtId="172" fontId="35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3" fillId="2" borderId="1" xfId="0" applyFont="1" applyFill="1" applyBorder="1" applyAlignment="1" applyProtection="1">
      <alignment horizontal="center" vertical="center"/>
      <protection/>
    </xf>
    <xf numFmtId="164" fontId="34" fillId="2" borderId="1" xfId="0" applyFont="1" applyFill="1" applyBorder="1" applyAlignment="1" applyProtection="1">
      <alignment horizontal="center" vertical="center" wrapText="1"/>
      <protection locked="0"/>
    </xf>
    <xf numFmtId="164" fontId="34" fillId="3" borderId="1" xfId="0" applyFont="1" applyFill="1" applyBorder="1" applyAlignment="1" applyProtection="1">
      <alignment horizontal="center" vertical="center" wrapText="1"/>
      <protection locked="0"/>
    </xf>
    <xf numFmtId="164" fontId="3" fillId="6" borderId="1" xfId="0" applyFont="1" applyFill="1" applyBorder="1" applyAlignment="1" applyProtection="1">
      <alignment vertical="center" wrapText="1"/>
      <protection/>
    </xf>
    <xf numFmtId="166" fontId="34" fillId="6" borderId="1" xfId="0" applyNumberFormat="1" applyFont="1" applyFill="1" applyBorder="1" applyAlignment="1" applyProtection="1">
      <alignment vertical="center"/>
      <protection/>
    </xf>
    <xf numFmtId="164" fontId="0" fillId="6" borderId="1" xfId="0" applyFont="1" applyFill="1" applyBorder="1" applyAlignment="1" applyProtection="1">
      <alignment vertical="center" wrapText="1"/>
      <protection/>
    </xf>
    <xf numFmtId="166" fontId="32" fillId="0" borderId="1" xfId="0" applyNumberFormat="1" applyFont="1" applyFill="1" applyBorder="1" applyAlignment="1" applyProtection="1">
      <alignment vertical="center"/>
      <protection locked="0"/>
    </xf>
    <xf numFmtId="166" fontId="0" fillId="0" borderId="1" xfId="0" applyNumberFormat="1" applyFont="1" applyFill="1" applyBorder="1" applyAlignment="1" applyProtection="1">
      <alignment vertical="center"/>
      <protection locked="0"/>
    </xf>
    <xf numFmtId="166" fontId="0" fillId="6" borderId="1" xfId="0" applyNumberFormat="1" applyFont="1" applyFill="1" applyBorder="1" applyAlignment="1" applyProtection="1">
      <alignment vertical="center"/>
      <protection locked="0"/>
    </xf>
    <xf numFmtId="166" fontId="32" fillId="2" borderId="1" xfId="0" applyNumberFormat="1" applyFont="1" applyFill="1" applyBorder="1" applyAlignment="1" applyProtection="1">
      <alignment vertical="center"/>
      <protection locked="0"/>
    </xf>
    <xf numFmtId="166" fontId="32" fillId="6" borderId="1" xfId="0" applyNumberFormat="1" applyFont="1" applyFill="1" applyBorder="1" applyAlignment="1" applyProtection="1">
      <alignment vertical="center"/>
      <protection locked="0"/>
    </xf>
    <xf numFmtId="175" fontId="32" fillId="6" borderId="1" xfId="0" applyNumberFormat="1" applyFont="1" applyFill="1" applyBorder="1" applyAlignment="1" applyProtection="1">
      <alignment vertical="center"/>
      <protection locked="0"/>
    </xf>
    <xf numFmtId="166" fontId="46" fillId="6" borderId="1" xfId="0" applyNumberFormat="1" applyFont="1" applyFill="1" applyBorder="1" applyAlignment="1" applyProtection="1">
      <alignment vertical="center"/>
      <protection/>
    </xf>
    <xf numFmtId="166" fontId="0" fillId="6" borderId="1" xfId="0" applyNumberFormat="1" applyFont="1" applyFill="1" applyBorder="1" applyAlignment="1" applyProtection="1">
      <alignment vertical="center"/>
      <protection/>
    </xf>
    <xf numFmtId="167" fontId="3" fillId="6" borderId="1" xfId="0" applyNumberFormat="1" applyFont="1" applyFill="1" applyBorder="1" applyAlignment="1" applyProtection="1">
      <alignment horizontal="center" vertical="center"/>
      <protection/>
    </xf>
    <xf numFmtId="166" fontId="34" fillId="2" borderId="1" xfId="0" applyNumberFormat="1" applyFont="1" applyFill="1" applyBorder="1" applyAlignment="1" applyProtection="1">
      <alignment vertical="center"/>
      <protection locked="0"/>
    </xf>
    <xf numFmtId="176" fontId="3" fillId="6" borderId="1" xfId="0" applyNumberFormat="1" applyFont="1" applyFill="1" applyBorder="1" applyAlignment="1" applyProtection="1">
      <alignment horizontal="center" vertical="center"/>
      <protection/>
    </xf>
    <xf numFmtId="174" fontId="0" fillId="0" borderId="0" xfId="0" applyNumberFormat="1" applyFill="1" applyBorder="1" applyAlignment="1">
      <alignment horizontal="left"/>
    </xf>
    <xf numFmtId="165" fontId="9" fillId="0" borderId="0" xfId="0" applyNumberFormat="1" applyFont="1" applyFill="1" applyAlignment="1" applyProtection="1">
      <alignment/>
      <protection hidden="1"/>
    </xf>
    <xf numFmtId="165" fontId="0" fillId="0" borderId="0" xfId="0" applyNumberFormat="1" applyFill="1" applyAlignment="1" applyProtection="1">
      <alignment vertical="center"/>
      <protection/>
    </xf>
    <xf numFmtId="164" fontId="0" fillId="0" borderId="0" xfId="0" applyFont="1" applyAlignment="1">
      <alignment horizontal="right" wrapText="1"/>
    </xf>
    <xf numFmtId="165" fontId="0" fillId="2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75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/>
    </xf>
    <xf numFmtId="166" fontId="3" fillId="2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166" fontId="0" fillId="2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6" fontId="0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workbookViewId="0" topLeftCell="A1">
      <selection activeCell="C76" sqref="C76"/>
    </sheetView>
  </sheetViews>
  <sheetFormatPr defaultColWidth="12.57421875" defaultRowHeight="12.75"/>
  <cols>
    <col min="1" max="1" width="4.00390625" style="0" customWidth="1"/>
    <col min="2" max="2" width="40.7109375" style="0" customWidth="1"/>
    <col min="3" max="23" width="14.00390625" style="0" customWidth="1"/>
    <col min="24" max="27" width="15.00390625" style="0" customWidth="1"/>
    <col min="28" max="16384" width="11.57421875" style="0" customWidth="1"/>
  </cols>
  <sheetData>
    <row r="1" spans="2:27" ht="13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 t="s">
        <v>1</v>
      </c>
      <c r="AA1" s="4"/>
    </row>
    <row r="2" spans="6:27" ht="46.5" customHeight="1">
      <c r="F2" s="5"/>
      <c r="Z2" s="6" t="str">
        <f>zał3!J2</f>
        <v>Do Uchwały Nr XXIII/138/2012
Radu Miejskiej w Gołdapi
z dnia 25 czerwca 2012r.</v>
      </c>
      <c r="AA2" s="6"/>
    </row>
    <row r="3" spans="1:27" ht="12.75" customHeight="1">
      <c r="A3" s="7" t="s">
        <v>2</v>
      </c>
      <c r="B3" s="7" t="s">
        <v>3</v>
      </c>
      <c r="C3" s="7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2.75">
      <c r="A4" s="7"/>
      <c r="B4" s="7"/>
      <c r="C4" s="8">
        <v>2008</v>
      </c>
      <c r="D4" s="8">
        <v>2009</v>
      </c>
      <c r="E4" s="8">
        <v>2010</v>
      </c>
      <c r="F4" s="9">
        <v>2011</v>
      </c>
      <c r="G4" s="10">
        <v>2012</v>
      </c>
      <c r="H4" s="8">
        <v>2013</v>
      </c>
      <c r="I4" s="8">
        <v>2014</v>
      </c>
      <c r="J4" s="8">
        <v>2015</v>
      </c>
      <c r="K4" s="8">
        <v>2016</v>
      </c>
      <c r="L4" s="8">
        <v>2017</v>
      </c>
      <c r="M4" s="8">
        <v>2018</v>
      </c>
      <c r="N4" s="8">
        <v>2019</v>
      </c>
      <c r="O4" s="8">
        <v>2020</v>
      </c>
      <c r="P4" s="8">
        <v>2021</v>
      </c>
      <c r="Q4" s="8">
        <v>2022</v>
      </c>
      <c r="R4" s="8">
        <v>2023</v>
      </c>
      <c r="S4" s="8">
        <v>2024</v>
      </c>
      <c r="T4" s="8">
        <v>2025</v>
      </c>
      <c r="U4" s="8">
        <v>2026</v>
      </c>
      <c r="V4" s="8">
        <v>2027</v>
      </c>
      <c r="W4" s="8">
        <v>2028</v>
      </c>
      <c r="X4" s="8">
        <v>2029</v>
      </c>
      <c r="Y4" s="8">
        <v>2030</v>
      </c>
      <c r="Z4" s="8">
        <v>2031</v>
      </c>
      <c r="AA4" s="8">
        <v>2032</v>
      </c>
    </row>
    <row r="5" spans="1:27" ht="12.75">
      <c r="A5" s="11">
        <v>1</v>
      </c>
      <c r="B5" s="12" t="s">
        <v>5</v>
      </c>
      <c r="C5" s="13">
        <f>SUM(C6:C7)</f>
        <v>56602913</v>
      </c>
      <c r="D5" s="13">
        <f>SUM(D6:D7)</f>
        <v>65638462</v>
      </c>
      <c r="E5" s="13">
        <f>SUM(E6:E7)</f>
        <v>76066696.03</v>
      </c>
      <c r="F5" s="13">
        <f>SUM(F6:F7)</f>
        <v>72674133.27</v>
      </c>
      <c r="G5" s="13">
        <f>SUM(G6:G7)</f>
        <v>87878493.61</v>
      </c>
      <c r="H5" s="13">
        <f>SUM(H6:H7)</f>
        <v>68001763.27091</v>
      </c>
      <c r="I5" s="13">
        <f>SUM(I6:I7)</f>
        <v>65357456.728308216</v>
      </c>
      <c r="J5" s="13">
        <f>SUM(J6:J7)</f>
        <v>67379897.20288578</v>
      </c>
      <c r="K5" s="13">
        <f>SUM(K6:K7)</f>
        <v>69464924.11165524</v>
      </c>
      <c r="L5" s="13">
        <f>SUM(L6:L7)</f>
        <v>71614474.35746095</v>
      </c>
      <c r="M5" s="13">
        <f>SUM(M6:M7)</f>
        <v>73830544.78883699</v>
      </c>
      <c r="N5" s="13">
        <f>SUM(N6:N7)</f>
        <v>76115194.0553745</v>
      </c>
      <c r="O5" s="13">
        <f>SUM(O6:O7)</f>
        <v>78470544.52051719</v>
      </c>
      <c r="P5" s="13">
        <f>SUM(P6:P7)</f>
        <v>80898784.2335621</v>
      </c>
      <c r="Q5" s="13">
        <f>SUM(Q6:Q7)</f>
        <v>83402168.96269865</v>
      </c>
      <c r="R5" s="13">
        <f>SUM(R6:R7)</f>
        <v>85983024.29097532</v>
      </c>
      <c r="S5" s="13">
        <f>SUM(S6:S7)</f>
        <v>88643747.77714156</v>
      </c>
      <c r="T5" s="13">
        <f>SUM(T6:T7)</f>
        <v>91386811.18337333</v>
      </c>
      <c r="U5" s="13">
        <f>SUM(U6:U7)</f>
        <v>94214762.77195251</v>
      </c>
      <c r="V5" s="13">
        <f>SUM(V6:V7)</f>
        <v>97130229.67303447</v>
      </c>
      <c r="W5" s="13">
        <f>SUM(W6:W7)</f>
        <v>100135920.32570451</v>
      </c>
      <c r="X5" s="13">
        <f>SUM(X6:X7)</f>
        <v>103234626.9945915</v>
      </c>
      <c r="Y5" s="13">
        <f>SUM(Y6:Y7)</f>
        <v>106429228.3643777</v>
      </c>
      <c r="Z5" s="13">
        <f>SUM(Z6:Z7)</f>
        <v>109722692.21461588</v>
      </c>
      <c r="AA5" s="13">
        <f>SUM(AA6:AA7)</f>
        <v>113118078.17733972</v>
      </c>
    </row>
    <row r="6" spans="1:27" ht="12.75">
      <c r="A6" s="14" t="s">
        <v>6</v>
      </c>
      <c r="B6" s="15" t="s">
        <v>7</v>
      </c>
      <c r="C6" s="16">
        <v>48236781</v>
      </c>
      <c r="D6" s="16">
        <v>54877794</v>
      </c>
      <c r="E6" s="17">
        <f>zał2!D6</f>
        <v>59404315.82</v>
      </c>
      <c r="F6" s="17">
        <f>zał2!E6</f>
        <v>61924678.14</v>
      </c>
      <c r="G6" s="17">
        <f>zał2!F6</f>
        <v>58061182.61</v>
      </c>
      <c r="H6" s="17">
        <f>zał2!G6</f>
        <v>59861079.27091</v>
      </c>
      <c r="I6" s="17">
        <f>zał2!H6</f>
        <v>61716772.728308216</v>
      </c>
      <c r="J6" s="17">
        <f>zał2!I6</f>
        <v>63629992.68288577</v>
      </c>
      <c r="K6" s="17">
        <f>zał2!J6</f>
        <v>65602522.45605523</v>
      </c>
      <c r="L6" s="17">
        <f>zał2!K6</f>
        <v>67636200.65219295</v>
      </c>
      <c r="M6" s="17">
        <f>zał2!L6</f>
        <v>69732922.87241094</v>
      </c>
      <c r="N6" s="17">
        <f>zał2!M6</f>
        <v>71894643.48145568</v>
      </c>
      <c r="O6" s="17">
        <f>zał2!N6</f>
        <v>74123377.4293808</v>
      </c>
      <c r="P6" s="17">
        <f>zał2!O6</f>
        <v>76421202.12969162</v>
      </c>
      <c r="Q6" s="17">
        <f>zał2!P6</f>
        <v>78790259.39571206</v>
      </c>
      <c r="R6" s="17">
        <f>zał2!Q6</f>
        <v>81232757.43697913</v>
      </c>
      <c r="S6" s="17">
        <f>zał2!R6</f>
        <v>83750972.91752549</v>
      </c>
      <c r="T6" s="17">
        <f>zał2!S6</f>
        <v>86347253.07796878</v>
      </c>
      <c r="U6" s="17">
        <f>zał2!T6</f>
        <v>89024017.92338581</v>
      </c>
      <c r="V6" s="17">
        <f>zał2!U6</f>
        <v>91783762.47901078</v>
      </c>
      <c r="W6" s="17">
        <f>zał2!V6</f>
        <v>94629059.1158601</v>
      </c>
      <c r="X6" s="17">
        <f>zał2!W6</f>
        <v>97562559.94845177</v>
      </c>
      <c r="Y6" s="17">
        <f>zał2!X6</f>
        <v>100586999.30685377</v>
      </c>
      <c r="Z6" s="17">
        <f>zał2!Y6</f>
        <v>103705196.28536624</v>
      </c>
      <c r="AA6" s="17">
        <f>zał2!Z6</f>
        <v>106920057.37021258</v>
      </c>
    </row>
    <row r="7" spans="1:27" ht="12.75">
      <c r="A7" s="14" t="s">
        <v>8</v>
      </c>
      <c r="B7" s="15" t="s">
        <v>9</v>
      </c>
      <c r="C7" s="16">
        <v>8366132</v>
      </c>
      <c r="D7" s="16">
        <v>10760668</v>
      </c>
      <c r="E7" s="17">
        <f>zał2!D7</f>
        <v>16662380.21</v>
      </c>
      <c r="F7" s="17">
        <f>zał2!E7</f>
        <v>10749455.13</v>
      </c>
      <c r="G7" s="17">
        <f>zał2!F7</f>
        <v>29817311</v>
      </c>
      <c r="H7" s="17">
        <f>zał2!G7</f>
        <v>8140684</v>
      </c>
      <c r="I7" s="17">
        <f>zał2!H7</f>
        <v>3640684</v>
      </c>
      <c r="J7" s="17">
        <f>zał2!I7</f>
        <v>3749904.52</v>
      </c>
      <c r="K7" s="17">
        <f>zał2!J7</f>
        <v>3862401.6556</v>
      </c>
      <c r="L7" s="17">
        <f>zał2!K7</f>
        <v>3978273.7052680003</v>
      </c>
      <c r="M7" s="17">
        <f>zał2!L7</f>
        <v>4097621.91642604</v>
      </c>
      <c r="N7" s="17">
        <f>zał2!M7</f>
        <v>4220550.573918821</v>
      </c>
      <c r="O7" s="17">
        <f>zał2!N7</f>
        <v>4347167.091136386</v>
      </c>
      <c r="P7" s="17">
        <f>zał2!O7</f>
        <v>4477582.1038704775</v>
      </c>
      <c r="Q7" s="17">
        <f>zał2!P7</f>
        <v>4611909.566986592</v>
      </c>
      <c r="R7" s="17">
        <f>zał2!Q7</f>
        <v>4750266.853996189</v>
      </c>
      <c r="S7" s="17">
        <f>zał2!R7</f>
        <v>4892774.859616075</v>
      </c>
      <c r="T7" s="17">
        <f>zał2!S7</f>
        <v>5039558.105404557</v>
      </c>
      <c r="U7" s="17">
        <f>zał2!T7</f>
        <v>5190744.848566693</v>
      </c>
      <c r="V7" s="17">
        <f>zał2!U7</f>
        <v>5346467.194023694</v>
      </c>
      <c r="W7" s="17">
        <f>zał2!V7</f>
        <v>5506861.209844405</v>
      </c>
      <c r="X7" s="17">
        <f>zał2!W7</f>
        <v>5672067.046139737</v>
      </c>
      <c r="Y7" s="17">
        <f>zał2!X7</f>
        <v>5842229.057523929</v>
      </c>
      <c r="Z7" s="17">
        <f>zał2!Y7</f>
        <v>6017495.929249646</v>
      </c>
      <c r="AA7" s="17">
        <f>zał2!Z7</f>
        <v>6198020.807127136</v>
      </c>
    </row>
    <row r="8" spans="1:27" ht="12.75">
      <c r="A8" s="14" t="s">
        <v>10</v>
      </c>
      <c r="B8" s="15" t="s">
        <v>11</v>
      </c>
      <c r="C8" s="16">
        <v>2943102</v>
      </c>
      <c r="D8" s="16">
        <v>1702924</v>
      </c>
      <c r="E8" s="17">
        <f>zał2!D8</f>
        <v>1908591.03</v>
      </c>
      <c r="F8" s="17">
        <f>zał2!E8</f>
        <v>1643757.32</v>
      </c>
      <c r="G8" s="17">
        <f>zał2!F8</f>
        <v>5910000</v>
      </c>
      <c r="H8" s="17">
        <f>zał2!G8</f>
        <v>6000000</v>
      </c>
      <c r="I8" s="17">
        <f>zał2!H8</f>
        <v>1500000</v>
      </c>
      <c r="J8" s="17">
        <f>zał2!I8</f>
        <v>1545000</v>
      </c>
      <c r="K8" s="17">
        <f>zał2!J8</f>
        <v>1591350</v>
      </c>
      <c r="L8" s="17">
        <f>zał2!K8</f>
        <v>1639090.5</v>
      </c>
      <c r="M8" s="17">
        <f>zał2!L8</f>
        <v>1688263.215</v>
      </c>
      <c r="N8" s="17">
        <f>zał2!M8</f>
        <v>1738911.1114500002</v>
      </c>
      <c r="O8" s="17">
        <f>zał2!N8</f>
        <v>1791078.4447935002</v>
      </c>
      <c r="P8" s="17">
        <f>zał2!O8</f>
        <v>1844810.7981373053</v>
      </c>
      <c r="Q8" s="17">
        <f>zał2!P8</f>
        <v>1900155.1220814246</v>
      </c>
      <c r="R8" s="17">
        <f>zał2!Q8</f>
        <v>1957159.7757438673</v>
      </c>
      <c r="S8" s="17">
        <f>zał2!R8</f>
        <v>2015874.5690161833</v>
      </c>
      <c r="T8" s="17">
        <f>zał2!S8</f>
        <v>2076350.8060866687</v>
      </c>
      <c r="U8" s="17">
        <f>zał2!T8</f>
        <v>2138641.3302692687</v>
      </c>
      <c r="V8" s="17">
        <f>zał2!U8</f>
        <v>2202800.570177347</v>
      </c>
      <c r="W8" s="17">
        <f>zał2!V8</f>
        <v>2268884.5872826674</v>
      </c>
      <c r="X8" s="17">
        <f>zał2!W8</f>
        <v>2336951.1249011476</v>
      </c>
      <c r="Y8" s="17">
        <f>zał2!X8</f>
        <v>2407059.658648182</v>
      </c>
      <c r="Z8" s="17">
        <f>zał2!Y8</f>
        <v>2479271.4484076276</v>
      </c>
      <c r="AA8" s="17">
        <f>zał2!Z8</f>
        <v>2553649.5918598566</v>
      </c>
    </row>
    <row r="9" spans="1:27" ht="36.75">
      <c r="A9" s="14" t="s">
        <v>12</v>
      </c>
      <c r="B9" s="18" t="s">
        <v>13</v>
      </c>
      <c r="C9" s="19" t="s">
        <v>14</v>
      </c>
      <c r="D9" s="16">
        <v>175433.62</v>
      </c>
      <c r="E9" s="20">
        <v>206904.9</v>
      </c>
      <c r="F9" s="20">
        <v>250061.36</v>
      </c>
      <c r="G9" s="20">
        <v>100000</v>
      </c>
      <c r="H9" s="17">
        <f>G9</f>
        <v>100000</v>
      </c>
      <c r="I9" s="17">
        <f>H9</f>
        <v>100000</v>
      </c>
      <c r="J9" s="17">
        <f>I9</f>
        <v>100000</v>
      </c>
      <c r="K9" s="17">
        <f>J9</f>
        <v>100000</v>
      </c>
      <c r="L9" s="17">
        <f>K9</f>
        <v>100000</v>
      </c>
      <c r="M9" s="17">
        <f>L9</f>
        <v>100000</v>
      </c>
      <c r="N9" s="17">
        <f>M9</f>
        <v>100000</v>
      </c>
      <c r="O9" s="17">
        <f>N9</f>
        <v>100000</v>
      </c>
      <c r="P9" s="17">
        <f>O9</f>
        <v>100000</v>
      </c>
      <c r="Q9" s="17">
        <f>P9</f>
        <v>100000</v>
      </c>
      <c r="R9" s="17">
        <f>Q9</f>
        <v>100000</v>
      </c>
      <c r="S9" s="17">
        <f>R9</f>
        <v>100000</v>
      </c>
      <c r="T9" s="17">
        <f>S9</f>
        <v>100000</v>
      </c>
      <c r="U9" s="17">
        <f>T9</f>
        <v>100000</v>
      </c>
      <c r="V9" s="17">
        <f>U9</f>
        <v>100000</v>
      </c>
      <c r="W9" s="17">
        <f>V9</f>
        <v>100000</v>
      </c>
      <c r="X9" s="17">
        <f>W9</f>
        <v>100000</v>
      </c>
      <c r="Y9" s="17">
        <f>X9</f>
        <v>100000</v>
      </c>
      <c r="Z9" s="17">
        <f>Y9</f>
        <v>100000</v>
      </c>
      <c r="AA9" s="17">
        <f>Z9</f>
        <v>100000</v>
      </c>
    </row>
    <row r="10" spans="1:27" ht="48.75">
      <c r="A10" s="11">
        <v>2</v>
      </c>
      <c r="B10" s="21" t="s">
        <v>15</v>
      </c>
      <c r="C10" s="16">
        <v>45362971</v>
      </c>
      <c r="D10" s="16">
        <v>50589750</v>
      </c>
      <c r="E10" s="17">
        <f>E54</f>
        <v>53228203.61</v>
      </c>
      <c r="F10" s="17">
        <f>F54</f>
        <v>52905908.55</v>
      </c>
      <c r="G10" s="17">
        <f>G54</f>
        <v>57942254.61</v>
      </c>
      <c r="H10" s="17">
        <f>H54</f>
        <v>48886961.92407</v>
      </c>
      <c r="I10" s="17">
        <f>I54</f>
        <v>50769250.49814</v>
      </c>
      <c r="J10" s="17">
        <f>J54</f>
        <v>52553357.20221</v>
      </c>
      <c r="K10" s="17">
        <f>K54</f>
        <v>54384771.77538</v>
      </c>
      <c r="L10" s="17">
        <f>L54</f>
        <v>56264913.453723006</v>
      </c>
      <c r="M10" s="17">
        <f>M54</f>
        <v>58195244.05039419</v>
      </c>
      <c r="N10" s="17">
        <f>N54</f>
        <v>60177269.77294342</v>
      </c>
      <c r="O10" s="17">
        <f>O54</f>
        <v>62151643.73234703</v>
      </c>
      <c r="P10" s="17">
        <f>P54</f>
        <v>64088011.75410864</v>
      </c>
      <c r="Q10" s="17">
        <f>Q54</f>
        <v>66080867.845612995</v>
      </c>
      <c r="R10" s="17">
        <f>R54</f>
        <v>68131906.64895238</v>
      </c>
      <c r="S10" s="17">
        <f>S54</f>
        <v>70242873.64548185</v>
      </c>
      <c r="T10" s="17">
        <f>T54</f>
        <v>72415566.6809971</v>
      </c>
      <c r="U10" s="17">
        <f>U54</f>
        <v>74651837.53666772</v>
      </c>
      <c r="V10" s="17">
        <f>V54</f>
        <v>76953593.54709834</v>
      </c>
      <c r="W10" s="17">
        <f>W54</f>
        <v>79322799.2669318</v>
      </c>
      <c r="X10" s="17">
        <f>X54</f>
        <v>81761478.18745016</v>
      </c>
      <c r="Y10" s="17">
        <f>Y54</f>
        <v>84271714.50467396</v>
      </c>
      <c r="Z10" s="17">
        <f>Z54</f>
        <v>86855655.66050439</v>
      </c>
      <c r="AA10" s="17">
        <f>AA54</f>
        <v>89487200.45849961</v>
      </c>
    </row>
    <row r="11" spans="1:27" ht="12.75">
      <c r="A11" s="14" t="s">
        <v>6</v>
      </c>
      <c r="B11" s="18" t="s">
        <v>16</v>
      </c>
      <c r="C11" s="16">
        <v>19066808</v>
      </c>
      <c r="D11" s="16">
        <v>21525882</v>
      </c>
      <c r="E11" s="22">
        <v>23164024.05</v>
      </c>
      <c r="F11" s="23">
        <v>24037884.81</v>
      </c>
      <c r="G11" s="23">
        <f>25531313+722-3600+277-425-24000+6138+1002</f>
        <v>25511427</v>
      </c>
      <c r="H11" s="17">
        <f>SUM(G11+0.03*G11)</f>
        <v>26276769.81</v>
      </c>
      <c r="I11" s="17">
        <f>SUM(H11+0.03*H11)</f>
        <v>27065072.904299997</v>
      </c>
      <c r="J11" s="17">
        <f>SUM(I11+0.03*I11)</f>
        <v>27877025.091428995</v>
      </c>
      <c r="K11" s="17">
        <f>SUM(J11+0.03*J11)</f>
        <v>28713335.844171867</v>
      </c>
      <c r="L11" s="17">
        <f>SUM(K11+0.03*K11)</f>
        <v>29574735.919497024</v>
      </c>
      <c r="M11" s="17">
        <f>SUM(L11+0.03*L11)</f>
        <v>30461977.997081935</v>
      </c>
      <c r="N11" s="17">
        <f>SUM(M11+0.03*M11)</f>
        <v>31375837.336994395</v>
      </c>
      <c r="O11" s="17">
        <f>SUM(N11+0.03*N11)</f>
        <v>32317112.457104225</v>
      </c>
      <c r="P11" s="17">
        <f>SUM(O11+0.03*O11)</f>
        <v>33286625.830817353</v>
      </c>
      <c r="Q11" s="17">
        <f>SUM(P11+0.03*P11)</f>
        <v>34285224.60574187</v>
      </c>
      <c r="R11" s="17">
        <f>SUM(Q11+0.03*Q11)</f>
        <v>35313781.34391413</v>
      </c>
      <c r="S11" s="17">
        <f>SUM(R11+0.03*R11)</f>
        <v>36373194.78423155</v>
      </c>
      <c r="T11" s="17">
        <f>SUM(S11+0.03*S11)</f>
        <v>37464390.627758496</v>
      </c>
      <c r="U11" s="17">
        <f>SUM(T11+0.03*T11)</f>
        <v>38588322.34659125</v>
      </c>
      <c r="V11" s="17">
        <f>SUM(U11+0.03*U11)</f>
        <v>39745972.016988985</v>
      </c>
      <c r="W11" s="17">
        <f>SUM(V11+0.03*V11)</f>
        <v>40938351.17749865</v>
      </c>
      <c r="X11" s="17">
        <f>SUM(W11+0.03*W11)</f>
        <v>42166501.712823614</v>
      </c>
      <c r="Y11" s="17">
        <f>SUM(X11+0.03*X11)</f>
        <v>43431496.764208324</v>
      </c>
      <c r="Z11" s="17">
        <f>SUM(Y11+0.03*Y11)</f>
        <v>44734441.667134576</v>
      </c>
      <c r="AA11" s="17">
        <f>SUM(Z11+0.03*Z11)</f>
        <v>46076474.91714861</v>
      </c>
    </row>
    <row r="12" spans="1:27" ht="12.75">
      <c r="A12" s="14" t="s">
        <v>8</v>
      </c>
      <c r="B12" s="15" t="s">
        <v>17</v>
      </c>
      <c r="C12" s="16">
        <v>3797329</v>
      </c>
      <c r="D12" s="16">
        <v>4009351</v>
      </c>
      <c r="E12" s="22">
        <v>3909060.3</v>
      </c>
      <c r="F12" s="23">
        <v>3712043.36</v>
      </c>
      <c r="G12" s="23">
        <f>4435000-6840</f>
        <v>4428160</v>
      </c>
      <c r="H12" s="17">
        <f>SUM(G12+0.03*G12)</f>
        <v>4561004.8</v>
      </c>
      <c r="I12" s="17">
        <f>SUM(H12+0.03*H12)</f>
        <v>4697834.944</v>
      </c>
      <c r="J12" s="17">
        <f>SUM(I12+0.03*I12)</f>
        <v>4838769.99232</v>
      </c>
      <c r="K12" s="17">
        <f>SUM(J12+0.03*J12)</f>
        <v>4983933.0920896</v>
      </c>
      <c r="L12" s="17">
        <f>SUM(K12+0.03*K12)</f>
        <v>5133451.084852288</v>
      </c>
      <c r="M12" s="17">
        <f>SUM(L12+0.03*L12)</f>
        <v>5287454.617397856</v>
      </c>
      <c r="N12" s="17">
        <f>SUM(M12+0.03*M12)</f>
        <v>5446078.255919792</v>
      </c>
      <c r="O12" s="17">
        <f>SUM(N12+0.03*N12)</f>
        <v>5609460.603597386</v>
      </c>
      <c r="P12" s="17">
        <f>SUM(O12+0.03*O12)</f>
        <v>5777744.421705307</v>
      </c>
      <c r="Q12" s="17">
        <f>SUM(P12+0.03*P12)</f>
        <v>5951076.754356466</v>
      </c>
      <c r="R12" s="17">
        <f>SUM(Q12+0.03*Q12)</f>
        <v>6129609.05698716</v>
      </c>
      <c r="S12" s="17">
        <f>SUM(R12+0.03*R12)</f>
        <v>6313497.328696774</v>
      </c>
      <c r="T12" s="17">
        <f>SUM(S12+0.03*S12)</f>
        <v>6502902.2485576775</v>
      </c>
      <c r="U12" s="17">
        <f>SUM(T12+0.03*T12)</f>
        <v>6697989.316014408</v>
      </c>
      <c r="V12" s="17">
        <f>SUM(U12+0.03*U12)</f>
        <v>6898928.995494841</v>
      </c>
      <c r="W12" s="17">
        <f>SUM(V12+0.03*V12)</f>
        <v>7105896.865359686</v>
      </c>
      <c r="X12" s="17">
        <f>SUM(W12+0.03*W12)</f>
        <v>7319073.771320477</v>
      </c>
      <c r="Y12" s="17">
        <f>SUM(X12+0.03*X12)</f>
        <v>7538645.984460091</v>
      </c>
      <c r="Z12" s="17">
        <f>SUM(Y12+0.03*Y12)</f>
        <v>7764805.363993894</v>
      </c>
      <c r="AA12" s="17">
        <f>SUM(Z12+0.03*Z12)</f>
        <v>7997749.5249137115</v>
      </c>
    </row>
    <row r="13" spans="1:27" ht="12.75">
      <c r="A13" s="14" t="s">
        <v>10</v>
      </c>
      <c r="B13" s="18" t="s">
        <v>18</v>
      </c>
      <c r="C13" s="16">
        <v>62867</v>
      </c>
      <c r="D13" s="16">
        <v>90829</v>
      </c>
      <c r="E13" s="17">
        <f>zał2!D33</f>
        <v>480000</v>
      </c>
      <c r="F13" s="17">
        <f>zał2!E33</f>
        <v>348000</v>
      </c>
      <c r="G13" s="17">
        <f>zał2!F33</f>
        <v>1192000</v>
      </c>
      <c r="H13" s="17">
        <f>zał2!G33</f>
        <v>1000000</v>
      </c>
      <c r="I13" s="17">
        <f>zał2!H33</f>
        <v>0</v>
      </c>
      <c r="J13" s="17">
        <f>zał2!I33</f>
        <v>0</v>
      </c>
      <c r="K13" s="17">
        <f>zał2!J33</f>
        <v>0</v>
      </c>
      <c r="L13" s="17">
        <f>zał2!K33</f>
        <v>0</v>
      </c>
      <c r="M13" s="17">
        <f>zał2!L33</f>
        <v>0</v>
      </c>
      <c r="N13" s="17">
        <f>zał2!M33</f>
        <v>0</v>
      </c>
      <c r="O13" s="17">
        <f>zał2!N33</f>
        <v>0</v>
      </c>
      <c r="P13" s="17">
        <f>zał2!O33</f>
        <v>0</v>
      </c>
      <c r="Q13" s="17">
        <f>zał2!P33</f>
        <v>0</v>
      </c>
      <c r="R13" s="17">
        <f>zał2!Q33</f>
        <v>0</v>
      </c>
      <c r="S13" s="17">
        <f>zał2!R33</f>
        <v>0</v>
      </c>
      <c r="T13" s="17">
        <f>zał2!S33</f>
        <v>0</v>
      </c>
      <c r="U13" s="17">
        <f>zał2!T33</f>
        <v>0</v>
      </c>
      <c r="V13" s="17">
        <f>zał2!U33</f>
        <v>0</v>
      </c>
      <c r="W13" s="17">
        <f>zał2!V33</f>
        <v>0</v>
      </c>
      <c r="X13" s="17">
        <f>zał2!W33</f>
        <v>0</v>
      </c>
      <c r="Y13" s="17">
        <f>zał2!X33</f>
        <v>0</v>
      </c>
      <c r="Z13" s="17">
        <f>zał2!Y33</f>
        <v>0</v>
      </c>
      <c r="AA13" s="17">
        <f>zał2!Z33</f>
        <v>0</v>
      </c>
    </row>
    <row r="14" spans="1:27" ht="24.75">
      <c r="A14" s="14" t="s">
        <v>12</v>
      </c>
      <c r="B14" s="18" t="s">
        <v>19</v>
      </c>
      <c r="C14" s="16">
        <v>0</v>
      </c>
      <c r="D14" s="16">
        <v>0</v>
      </c>
      <c r="E14" s="16">
        <v>0</v>
      </c>
      <c r="F14" s="17">
        <f>zał2!E34</f>
        <v>348000</v>
      </c>
      <c r="G14" s="17">
        <f>zał2!F34</f>
        <v>1192000</v>
      </c>
      <c r="H14" s="17">
        <f>zał2!G34</f>
        <v>1000000</v>
      </c>
      <c r="I14" s="17">
        <f>zał2!H34</f>
        <v>0</v>
      </c>
      <c r="J14" s="17">
        <f>zał2!I34</f>
        <v>0</v>
      </c>
      <c r="K14" s="17">
        <f>zał2!J34</f>
        <v>0</v>
      </c>
      <c r="L14" s="17">
        <f>zał2!K34</f>
        <v>0</v>
      </c>
      <c r="M14" s="17">
        <f>zał2!L34</f>
        <v>0</v>
      </c>
      <c r="N14" s="17">
        <f>zał2!M34</f>
        <v>0</v>
      </c>
      <c r="O14" s="17">
        <f>zał2!N34</f>
        <v>0</v>
      </c>
      <c r="P14" s="17">
        <f>zał2!O34</f>
        <v>0</v>
      </c>
      <c r="Q14" s="17">
        <f>zał2!P34</f>
        <v>0</v>
      </c>
      <c r="R14" s="17">
        <f>zał2!Q34</f>
        <v>0</v>
      </c>
      <c r="S14" s="17">
        <f>zał2!R34</f>
        <v>0</v>
      </c>
      <c r="T14" s="17">
        <f>zał2!S34</f>
        <v>0</v>
      </c>
      <c r="U14" s="17">
        <f>zał2!T34</f>
        <v>0</v>
      </c>
      <c r="V14" s="17">
        <f>zał2!U34</f>
        <v>0</v>
      </c>
      <c r="W14" s="17">
        <f>zał2!V34</f>
        <v>0</v>
      </c>
      <c r="X14" s="17">
        <f>zał2!W34</f>
        <v>0</v>
      </c>
      <c r="Y14" s="17">
        <f>zał2!X34</f>
        <v>0</v>
      </c>
      <c r="Z14" s="17">
        <f>zał2!Y34</f>
        <v>0</v>
      </c>
      <c r="AA14" s="17">
        <f>zał2!Z34</f>
        <v>0</v>
      </c>
    </row>
    <row r="15" spans="1:27" ht="24.75">
      <c r="A15" s="14" t="s">
        <v>20</v>
      </c>
      <c r="B15" s="18" t="s">
        <v>21</v>
      </c>
      <c r="C15" s="16">
        <v>0</v>
      </c>
      <c r="D15" s="16">
        <v>0</v>
      </c>
      <c r="E15" s="16">
        <v>0</v>
      </c>
      <c r="F15" s="17">
        <f>zał3!G9</f>
        <v>1861833.32</v>
      </c>
      <c r="G15" s="17">
        <f>zał3!H9</f>
        <v>1500035</v>
      </c>
      <c r="H15" s="17">
        <f>zał3!I9</f>
        <v>1055620</v>
      </c>
      <c r="I15" s="17">
        <f>zał3!J9</f>
        <v>30000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</row>
    <row r="16" spans="1:27" ht="24.75">
      <c r="A16" s="11">
        <v>3</v>
      </c>
      <c r="B16" s="21" t="s">
        <v>22</v>
      </c>
      <c r="C16" s="13">
        <f>SUM(C5-C10)</f>
        <v>11239942</v>
      </c>
      <c r="D16" s="13">
        <f>SUM(D5-D10)</f>
        <v>15048712</v>
      </c>
      <c r="E16" s="13">
        <f>SUM(E5-E10)</f>
        <v>22838492.42</v>
      </c>
      <c r="F16" s="13">
        <f>SUM(F5-F10)</f>
        <v>19768224.72</v>
      </c>
      <c r="G16" s="13">
        <f>SUM(G5-G10)</f>
        <v>29936239</v>
      </c>
      <c r="H16" s="13">
        <f>SUM(H5-H10)</f>
        <v>19114801.346839994</v>
      </c>
      <c r="I16" s="13">
        <f>SUM(I5-I10)</f>
        <v>14588206.230168216</v>
      </c>
      <c r="J16" s="13">
        <f>SUM(J5-J10)</f>
        <v>14826540.000675775</v>
      </c>
      <c r="K16" s="13">
        <f>SUM(K5-K10)</f>
        <v>15080152.336275235</v>
      </c>
      <c r="L16" s="13">
        <f>SUM(L5-L10)</f>
        <v>15349560.90373794</v>
      </c>
      <c r="M16" s="13">
        <f>SUM(M5-M10)</f>
        <v>15635300.738442793</v>
      </c>
      <c r="N16" s="13">
        <f>SUM(N5-N10)</f>
        <v>15937924.282431081</v>
      </c>
      <c r="O16" s="13">
        <f>SUM(O5-O10)</f>
        <v>16318900.788170159</v>
      </c>
      <c r="P16" s="13">
        <f>SUM(P5-P10)</f>
        <v>16810772.47945346</v>
      </c>
      <c r="Q16" s="13">
        <f>SUM(Q5-Q10)</f>
        <v>17321301.117085658</v>
      </c>
      <c r="R16" s="13">
        <f>SUM(R5-R10)</f>
        <v>17851117.642022938</v>
      </c>
      <c r="S16" s="13">
        <f>SUM(S5-S10)</f>
        <v>18400874.1316597</v>
      </c>
      <c r="T16" s="13">
        <f>SUM(T5-T10)</f>
        <v>18971244.50237623</v>
      </c>
      <c r="U16" s="13">
        <f>SUM(U5-U10)</f>
        <v>19562925.23528479</v>
      </c>
      <c r="V16" s="13">
        <f>SUM(V5-V10)</f>
        <v>20176636.125936136</v>
      </c>
      <c r="W16" s="13">
        <f>SUM(W5-W10)</f>
        <v>20813121.058772713</v>
      </c>
      <c r="X16" s="13">
        <f>SUM(X5-X10)</f>
        <v>21473148.80714135</v>
      </c>
      <c r="Y16" s="13">
        <f>SUM(Y5-Y10)</f>
        <v>22157513.85970375</v>
      </c>
      <c r="Z16" s="13">
        <f>SUM(Z5-Z10)</f>
        <v>22867036.554111496</v>
      </c>
      <c r="AA16" s="13">
        <f>SUM(AA5-AA10)</f>
        <v>23630877.718840107</v>
      </c>
    </row>
    <row r="17" spans="1:27" ht="24.75">
      <c r="A17" s="11">
        <v>4</v>
      </c>
      <c r="B17" s="21" t="s">
        <v>23</v>
      </c>
      <c r="C17" s="16">
        <v>2208400</v>
      </c>
      <c r="D17" s="16">
        <v>4448000</v>
      </c>
      <c r="E17" s="16">
        <v>3064970</v>
      </c>
      <c r="F17" s="17">
        <f>F59</f>
        <v>5983046.68</v>
      </c>
      <c r="G17" s="17">
        <f>G59</f>
        <v>711078</v>
      </c>
      <c r="H17" s="17">
        <f>H59</f>
        <v>750000</v>
      </c>
      <c r="I17" s="17">
        <f>I59</f>
        <v>12805236.270909995</v>
      </c>
      <c r="J17" s="17">
        <f>J59</f>
        <v>11043157.728308216</v>
      </c>
      <c r="K17" s="17">
        <f>K59</f>
        <v>11488669.232885778</v>
      </c>
      <c r="L17" s="17">
        <f>L59</f>
        <v>11874459.302555233</v>
      </c>
      <c r="M17" s="17">
        <f>M59</f>
        <v>12273795.604087941</v>
      </c>
      <c r="N17" s="17">
        <f>N59</f>
        <v>12687145.67286279</v>
      </c>
      <c r="O17" s="17">
        <f>O59</f>
        <v>13114992.965921082</v>
      </c>
      <c r="P17" s="17">
        <f>P59</f>
        <v>13557837.39838016</v>
      </c>
      <c r="Q17" s="17">
        <f>Q59</f>
        <v>14016195.897760957</v>
      </c>
      <c r="R17" s="17">
        <f>R59</f>
        <v>14490602.976823479</v>
      </c>
      <c r="S17" s="17">
        <f>S59</f>
        <v>14981611.325523898</v>
      </c>
      <c r="T17" s="17">
        <f>T59</f>
        <v>15489792.422726601</v>
      </c>
      <c r="U17" s="17">
        <f>U59</f>
        <v>16015737.168325916</v>
      </c>
      <c r="V17" s="17">
        <f>V59</f>
        <v>16560056.53645368</v>
      </c>
      <c r="W17" s="17">
        <f>W59</f>
        <v>17123382.250470683</v>
      </c>
      <c r="X17" s="17">
        <f>X59</f>
        <v>17706367.480463803</v>
      </c>
      <c r="Y17" s="17">
        <f>Y59</f>
        <v>18309687.563993573</v>
      </c>
      <c r="Z17" s="17">
        <f>Z59</f>
        <v>18934040.75086184</v>
      </c>
      <c r="AA17" s="17">
        <f>AA59</f>
        <v>19580148.97269453</v>
      </c>
    </row>
    <row r="18" spans="1:27" ht="36.75">
      <c r="A18" s="14" t="s">
        <v>6</v>
      </c>
      <c r="B18" s="18" t="s">
        <v>24</v>
      </c>
      <c r="C18" s="16">
        <v>0</v>
      </c>
      <c r="D18" s="16">
        <v>0</v>
      </c>
      <c r="E18" s="16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</row>
    <row r="19" spans="1:27" ht="24.75">
      <c r="A19" s="11">
        <v>5</v>
      </c>
      <c r="B19" s="21" t="s">
        <v>25</v>
      </c>
      <c r="C19" s="16">
        <v>0</v>
      </c>
      <c r="D19" s="16">
        <v>0</v>
      </c>
      <c r="E19" s="16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</row>
    <row r="20" spans="1:27" ht="24.75">
      <c r="A20" s="11">
        <v>6</v>
      </c>
      <c r="B20" s="21" t="s">
        <v>26</v>
      </c>
      <c r="C20" s="13">
        <f>SUM(C16+C17+C19)</f>
        <v>13448342</v>
      </c>
      <c r="D20" s="13">
        <f>SUM(D16+D17+D19)</f>
        <v>19496712</v>
      </c>
      <c r="E20" s="13">
        <f>SUM(E16+E17+E19)</f>
        <v>25903462.42</v>
      </c>
      <c r="F20" s="13">
        <f>SUM(F16+F17+F19)</f>
        <v>25751271.4</v>
      </c>
      <c r="G20" s="13">
        <f>SUM(G16+G17+G19)</f>
        <v>30647317</v>
      </c>
      <c r="H20" s="13">
        <f>SUM(H16+H17+H19)</f>
        <v>19864801.346839994</v>
      </c>
      <c r="I20" s="13">
        <f>SUM(I16+I17+I19)</f>
        <v>27393442.50107821</v>
      </c>
      <c r="J20" s="13">
        <f>SUM(J16+J17+J19)</f>
        <v>25869697.72898399</v>
      </c>
      <c r="K20" s="13">
        <f>SUM(K16+K17+K19)</f>
        <v>26568821.569161013</v>
      </c>
      <c r="L20" s="13">
        <f>SUM(L16+L17+L19)</f>
        <v>27224020.206293173</v>
      </c>
      <c r="M20" s="13">
        <f>SUM(M16+M17+M19)</f>
        <v>27909096.342530735</v>
      </c>
      <c r="N20" s="13">
        <f>SUM(N16+N17+N19)</f>
        <v>28625069.95529387</v>
      </c>
      <c r="O20" s="13">
        <f>SUM(O16+O17+O19)</f>
        <v>29433893.75409124</v>
      </c>
      <c r="P20" s="13">
        <f>SUM(P16+P17+P19)</f>
        <v>30368609.87783362</v>
      </c>
      <c r="Q20" s="13">
        <f>SUM(Q16+Q17+Q19)</f>
        <v>31337497.014846615</v>
      </c>
      <c r="R20" s="13">
        <f>SUM(R16+R17+R19)</f>
        <v>32341720.618846416</v>
      </c>
      <c r="S20" s="13">
        <f>SUM(S16+S17+S19)</f>
        <v>33382485.4571836</v>
      </c>
      <c r="T20" s="13">
        <f>SUM(T16+T17+T19)</f>
        <v>34461036.92510283</v>
      </c>
      <c r="U20" s="13">
        <f>SUM(U16+U17+U19)</f>
        <v>35578662.40361071</v>
      </c>
      <c r="V20" s="13">
        <f>SUM(V16+V17+V19)</f>
        <v>36736692.662389815</v>
      </c>
      <c r="W20" s="13">
        <f>SUM(W16+W17+W19)</f>
        <v>37936503.309243396</v>
      </c>
      <c r="X20" s="13">
        <f>SUM(X16+X17+X19)</f>
        <v>39179516.28760515</v>
      </c>
      <c r="Y20" s="13">
        <f>SUM(Y16+Y17+Y19)</f>
        <v>40467201.42369732</v>
      </c>
      <c r="Z20" s="13">
        <f>SUM(Z16+Z17+Z19)</f>
        <v>41801077.304973334</v>
      </c>
      <c r="AA20" s="13">
        <f>SUM(AA16+AA17+AA19)</f>
        <v>43211026.69153464</v>
      </c>
    </row>
    <row r="21" spans="1:27" ht="12.75">
      <c r="A21" s="11">
        <v>7</v>
      </c>
      <c r="B21" s="12" t="s">
        <v>27</v>
      </c>
      <c r="C21" s="13">
        <f>SUM(C22:C23)</f>
        <v>5006333</v>
      </c>
      <c r="D21" s="13">
        <f>SUM(D22:D23)</f>
        <v>7006783</v>
      </c>
      <c r="E21" s="13">
        <f>SUM(E22:E23)</f>
        <v>7727540.87</v>
      </c>
      <c r="F21" s="13">
        <f>SUM(F22:F23)</f>
        <v>8651861.24</v>
      </c>
      <c r="G21" s="13">
        <f>SUM(G22:G23)</f>
        <v>9681140.89</v>
      </c>
      <c r="H21" s="13">
        <f>SUM(H22:H23)</f>
        <v>8001163.510430001</v>
      </c>
      <c r="I21" s="13">
        <f>SUM(I22:I23)</f>
        <v>7649874.73636</v>
      </c>
      <c r="J21" s="13">
        <f>SUM(J22:J23)</f>
        <v>5040833.00229</v>
      </c>
      <c r="K21" s="13">
        <f>SUM(K22:K23)</f>
        <v>4833655.26822</v>
      </c>
      <c r="L21" s="13">
        <f>SUM(L22:L23)</f>
        <v>4626477.534150001</v>
      </c>
      <c r="M21" s="13">
        <f>SUM(M22:M23)</f>
        <v>4419299.80008</v>
      </c>
      <c r="N21" s="13">
        <f>SUM(N22:N23)</f>
        <v>4212130.52601</v>
      </c>
      <c r="O21" s="13">
        <f>SUM(O22:O23)</f>
        <v>3050896.32854</v>
      </c>
      <c r="P21" s="13">
        <f>SUM(P22:P23)</f>
        <v>1449985.2348700005</v>
      </c>
      <c r="Q21" s="13">
        <f>SUM(Q22:Q23)</f>
        <v>1396552.8712000004</v>
      </c>
      <c r="R21" s="13">
        <f>SUM(R22:R23)</f>
        <v>1343120.5075300005</v>
      </c>
      <c r="S21" s="13">
        <f>SUM(S22:S23)</f>
        <v>1289688.1438600004</v>
      </c>
      <c r="T21" s="13">
        <f>SUM(T22:T23)</f>
        <v>1236255.7801900003</v>
      </c>
      <c r="U21" s="13">
        <f>SUM(U22:U23)</f>
        <v>1182823.4165200004</v>
      </c>
      <c r="V21" s="13">
        <f>SUM(V22:V23)</f>
        <v>1129391.0528500003</v>
      </c>
      <c r="W21" s="13">
        <f>SUM(W22:W23)</f>
        <v>1075958.6891800005</v>
      </c>
      <c r="X21" s="13">
        <f>SUM(X22:X23)</f>
        <v>1022526.3255100005</v>
      </c>
      <c r="Y21" s="13">
        <f>SUM(Y22:Y23)</f>
        <v>969093.9618400005</v>
      </c>
      <c r="Z21" s="13">
        <f>SUM(Z22:Z23)</f>
        <v>915672.8781700004</v>
      </c>
      <c r="AA21" s="13">
        <f>SUM(AA22:AA23)</f>
        <v>418691.39450000005</v>
      </c>
    </row>
    <row r="22" spans="1:27" ht="24.75">
      <c r="A22" s="14" t="s">
        <v>6</v>
      </c>
      <c r="B22" s="18" t="s">
        <v>28</v>
      </c>
      <c r="C22" s="16">
        <v>4216859</v>
      </c>
      <c r="D22" s="16">
        <v>5932009</v>
      </c>
      <c r="E22" s="16">
        <v>6476116.28</v>
      </c>
      <c r="F22" s="17">
        <f>zał2!E24</f>
        <v>6701134</v>
      </c>
      <c r="G22" s="17">
        <f>zał2!F24</f>
        <v>7281140.890000001</v>
      </c>
      <c r="H22" s="17">
        <f>zał2!G24</f>
        <v>5854825.4345</v>
      </c>
      <c r="I22" s="17">
        <f>zał2!H24</f>
        <v>5854826.2345</v>
      </c>
      <c r="J22" s="17">
        <f>zał2!I24</f>
        <v>3452962.2345</v>
      </c>
      <c r="K22" s="17">
        <f>zał2!J24</f>
        <v>3452962.2345</v>
      </c>
      <c r="L22" s="17">
        <f>zał2!K24</f>
        <v>3452962.2345</v>
      </c>
      <c r="M22" s="17">
        <f>zał2!L24</f>
        <v>3452962.2345</v>
      </c>
      <c r="N22" s="17">
        <f>zał2!M24</f>
        <v>3452971.2345</v>
      </c>
      <c r="O22" s="17">
        <f>zał2!N24</f>
        <v>2438018.1245</v>
      </c>
      <c r="P22" s="17">
        <f>zał2!O24</f>
        <v>890539.3945</v>
      </c>
      <c r="Q22" s="17">
        <f>zał2!P24</f>
        <v>890539.3945</v>
      </c>
      <c r="R22" s="17">
        <f>zał2!Q24</f>
        <v>890539.3945</v>
      </c>
      <c r="S22" s="17">
        <f>zał2!R24</f>
        <v>890539.3945</v>
      </c>
      <c r="T22" s="17">
        <f>zał2!S24</f>
        <v>890539.3945</v>
      </c>
      <c r="U22" s="17">
        <f>zał2!T24</f>
        <v>890539.3945</v>
      </c>
      <c r="V22" s="17">
        <f>zał2!U24</f>
        <v>890539.3945</v>
      </c>
      <c r="W22" s="17">
        <f>zał2!V24</f>
        <v>890539.3945</v>
      </c>
      <c r="X22" s="17">
        <f>zał2!W24</f>
        <v>890539.3945</v>
      </c>
      <c r="Y22" s="17">
        <f>zał2!X24</f>
        <v>890539.3945</v>
      </c>
      <c r="Z22" s="17">
        <f>zał2!Y24</f>
        <v>890551.3945</v>
      </c>
      <c r="AA22" s="17">
        <f>zał2!Z24</f>
        <v>418691.39450000005</v>
      </c>
    </row>
    <row r="23" spans="1:27" ht="12.75">
      <c r="A23" s="14" t="s">
        <v>8</v>
      </c>
      <c r="B23" s="18" t="s">
        <v>29</v>
      </c>
      <c r="C23" s="17">
        <f>SUM(C53)</f>
        <v>789474</v>
      </c>
      <c r="D23" s="17">
        <f>SUM(D53)</f>
        <v>1074774</v>
      </c>
      <c r="E23" s="17">
        <f>SUM(E53)</f>
        <v>1251424.59</v>
      </c>
      <c r="F23" s="17">
        <f>SUM(F53)</f>
        <v>1950727.24</v>
      </c>
      <c r="G23" s="17">
        <f>SUM(G53)</f>
        <v>2400000</v>
      </c>
      <c r="H23" s="17">
        <f>SUM(H53)</f>
        <v>2146338.07593</v>
      </c>
      <c r="I23" s="17">
        <f>SUM(I53)</f>
        <v>1795048.5018600002</v>
      </c>
      <c r="J23" s="17">
        <f>SUM(J53)</f>
        <v>1587870.7677900002</v>
      </c>
      <c r="K23" s="17">
        <f>SUM(K53)</f>
        <v>1380693.0337200004</v>
      </c>
      <c r="L23" s="17">
        <f>SUM(L53)</f>
        <v>1173515.2996500004</v>
      </c>
      <c r="M23" s="17">
        <f>SUM(M53)</f>
        <v>966337.5655800004</v>
      </c>
      <c r="N23" s="17">
        <f>SUM(N53)</f>
        <v>759159.2915100005</v>
      </c>
      <c r="O23" s="17">
        <f>SUM(O53)</f>
        <v>612878.2040400004</v>
      </c>
      <c r="P23" s="17">
        <f>SUM(P53)</f>
        <v>559445.8403700005</v>
      </c>
      <c r="Q23" s="17">
        <f>SUM(Q53)</f>
        <v>506013.47670000046</v>
      </c>
      <c r="R23" s="17">
        <f>SUM(R53)</f>
        <v>452581.1130300004</v>
      </c>
      <c r="S23" s="17">
        <f>SUM(S53)</f>
        <v>399148.7493600004</v>
      </c>
      <c r="T23" s="17">
        <f>SUM(T53)</f>
        <v>345716.3856900004</v>
      </c>
      <c r="U23" s="17">
        <f>SUM(U53)</f>
        <v>292284.0220200004</v>
      </c>
      <c r="V23" s="17">
        <f>SUM(V53)</f>
        <v>238851.65835000036</v>
      </c>
      <c r="W23" s="17">
        <f>SUM(W53)</f>
        <v>185419.29468000037</v>
      </c>
      <c r="X23" s="17">
        <f>SUM(X53)</f>
        <v>131986.93101000038</v>
      </c>
      <c r="Y23" s="17">
        <f>SUM(Y53)</f>
        <v>78554.56734000039</v>
      </c>
      <c r="Z23" s="17">
        <f>SUM(Z53)</f>
        <v>25121.48367000038</v>
      </c>
      <c r="AA23" s="17">
        <f>SUM(AA53)</f>
        <v>0</v>
      </c>
    </row>
    <row r="24" spans="1:27" ht="12.75">
      <c r="A24" s="11">
        <v>8</v>
      </c>
      <c r="B24" s="21" t="s">
        <v>30</v>
      </c>
      <c r="C24" s="16">
        <v>0</v>
      </c>
      <c r="D24" s="16">
        <v>0</v>
      </c>
      <c r="E24" s="16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</row>
    <row r="25" spans="1:27" ht="24.75">
      <c r="A25" s="11">
        <v>9</v>
      </c>
      <c r="B25" s="21" t="s">
        <v>31</v>
      </c>
      <c r="C25" s="13">
        <f>SUM(C20-C21-C24)</f>
        <v>8442009</v>
      </c>
      <c r="D25" s="13">
        <f>SUM(D20-D21-D24)</f>
        <v>12489929</v>
      </c>
      <c r="E25" s="13">
        <f>SUM(E20-E21-E24)</f>
        <v>18175921.55</v>
      </c>
      <c r="F25" s="13">
        <f>SUM(F20-F21-F24)</f>
        <v>17099410.159999996</v>
      </c>
      <c r="G25" s="13">
        <f>SUM(G20-G21-G24)</f>
        <v>20966176.11</v>
      </c>
      <c r="H25" s="13">
        <f>SUM(H20-H21-H24)</f>
        <v>11863637.836409993</v>
      </c>
      <c r="I25" s="13">
        <f>SUM(I20-I21-I24)</f>
        <v>19743567.764718212</v>
      </c>
      <c r="J25" s="13">
        <f>SUM(J20-J21-J24)</f>
        <v>20828864.72669399</v>
      </c>
      <c r="K25" s="13">
        <f>SUM(K20-K21-K24)</f>
        <v>21735166.300941013</v>
      </c>
      <c r="L25" s="13">
        <f>SUM(L20-L21-L24)</f>
        <v>22597542.672143172</v>
      </c>
      <c r="M25" s="13">
        <f>SUM(M20-M21-M24)</f>
        <v>23489796.542450733</v>
      </c>
      <c r="N25" s="13">
        <f>SUM(N20-N21-N24)</f>
        <v>24412939.429283872</v>
      </c>
      <c r="O25" s="13">
        <f>SUM(O20-O21-O24)</f>
        <v>26382997.42555124</v>
      </c>
      <c r="P25" s="13">
        <f>SUM(P20-P21-P24)</f>
        <v>28918624.642963618</v>
      </c>
      <c r="Q25" s="13">
        <f>SUM(Q20-Q21-Q24)</f>
        <v>29940944.143646616</v>
      </c>
      <c r="R25" s="13">
        <f>SUM(R20-R21-R24)</f>
        <v>30998600.111316416</v>
      </c>
      <c r="S25" s="13">
        <f>SUM(S20-S21-S24)</f>
        <v>32092797.3133236</v>
      </c>
      <c r="T25" s="13">
        <f>SUM(T20-T21-T24)</f>
        <v>33224781.14491283</v>
      </c>
      <c r="U25" s="13">
        <f>SUM(U20-U21-U24)</f>
        <v>34395838.98709071</v>
      </c>
      <c r="V25" s="13">
        <f>SUM(V20-V21-V24)</f>
        <v>35607301.609539814</v>
      </c>
      <c r="W25" s="13">
        <f>SUM(W20-W21-W24)</f>
        <v>36860544.620063394</v>
      </c>
      <c r="X25" s="13">
        <f>SUM(X20-X21-X24)</f>
        <v>38156989.96209515</v>
      </c>
      <c r="Y25" s="13">
        <f>SUM(Y20-Y21-Y24)</f>
        <v>39498107.46185732</v>
      </c>
      <c r="Z25" s="13">
        <f>SUM(Z20-Z21-Z24)</f>
        <v>40885404.426803336</v>
      </c>
      <c r="AA25" s="13">
        <f>SUM(AA20-AA21-AA24)</f>
        <v>42792335.297034636</v>
      </c>
    </row>
    <row r="26" spans="1:27" ht="12.75">
      <c r="A26" s="11">
        <v>10</v>
      </c>
      <c r="B26" s="12" t="s">
        <v>32</v>
      </c>
      <c r="C26" s="16">
        <v>18745557</v>
      </c>
      <c r="D26" s="16">
        <v>19672209</v>
      </c>
      <c r="E26" s="17">
        <f>zał2!D11</f>
        <v>28233437.43</v>
      </c>
      <c r="F26" s="17">
        <f>zał2!E11</f>
        <v>25589380.16</v>
      </c>
      <c r="G26" s="17">
        <f>zał2!F11</f>
        <v>29340004</v>
      </c>
      <c r="H26" s="17">
        <f>zał2!G11</f>
        <v>4913227</v>
      </c>
      <c r="I26" s="17">
        <f>zał2!H11</f>
        <v>2500000</v>
      </c>
      <c r="J26" s="17">
        <f>zał2!I11</f>
        <v>2500000</v>
      </c>
      <c r="K26" s="17">
        <f>zał2!J11</f>
        <v>2575000</v>
      </c>
      <c r="L26" s="17">
        <f>zał2!K11</f>
        <v>2652250</v>
      </c>
      <c r="M26" s="17">
        <f>zał2!L11</f>
        <v>2731817.5</v>
      </c>
      <c r="N26" s="17">
        <f>zał2!M11</f>
        <v>2813772.025</v>
      </c>
      <c r="O26" s="17">
        <f>zał2!N11</f>
        <v>2898185.1857499997</v>
      </c>
      <c r="P26" s="17">
        <f>zał2!O11</f>
        <v>2985130.7413224997</v>
      </c>
      <c r="Q26" s="17">
        <f>zał2!P11</f>
        <v>3074684.663562175</v>
      </c>
      <c r="R26" s="17">
        <f>zał2!Q11</f>
        <v>3166925.2034690403</v>
      </c>
      <c r="S26" s="17">
        <f>zał2!R11</f>
        <v>3261932.9595731115</v>
      </c>
      <c r="T26" s="17">
        <f>zał2!S11</f>
        <v>3359790.948360305</v>
      </c>
      <c r="U26" s="17">
        <f>zał2!T11</f>
        <v>3460584.676811114</v>
      </c>
      <c r="V26" s="17">
        <f>zał2!U11</f>
        <v>3564402.2171154474</v>
      </c>
      <c r="W26" s="17">
        <f>zał2!V11</f>
        <v>3671334.283628911</v>
      </c>
      <c r="X26" s="17">
        <f>zał2!W11</f>
        <v>3781474.312137778</v>
      </c>
      <c r="Y26" s="17">
        <f>zał2!X11</f>
        <v>3894918.5415019114</v>
      </c>
      <c r="Z26" s="17">
        <f>zał2!Y11</f>
        <v>4011766.0977469687</v>
      </c>
      <c r="AA26" s="17">
        <f>zał2!Z11</f>
        <v>4132119.080679378</v>
      </c>
    </row>
    <row r="27" spans="1:27" ht="12.75">
      <c r="A27" s="14" t="s">
        <v>6</v>
      </c>
      <c r="B27" s="18" t="s">
        <v>33</v>
      </c>
      <c r="C27" s="16">
        <v>18745557</v>
      </c>
      <c r="D27" s="16">
        <v>19672209</v>
      </c>
      <c r="E27" s="17">
        <f>E26</f>
        <v>28233437.43</v>
      </c>
      <c r="F27" s="17">
        <f>F26</f>
        <v>25589380.16</v>
      </c>
      <c r="G27" s="17">
        <f>zał3!H10</f>
        <v>25316266</v>
      </c>
      <c r="H27" s="17">
        <f>zał3!I10</f>
        <v>3913227</v>
      </c>
      <c r="I27" s="17">
        <f>zał3!J10</f>
        <v>1500000</v>
      </c>
      <c r="J27" s="17">
        <f>zał3!K10</f>
        <v>1500000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</row>
    <row r="28" spans="1:27" ht="24.75">
      <c r="A28" s="11">
        <v>11</v>
      </c>
      <c r="B28" s="21" t="s">
        <v>34</v>
      </c>
      <c r="C28" s="16">
        <v>14411180</v>
      </c>
      <c r="D28" s="16">
        <v>10425160</v>
      </c>
      <c r="E28" s="16">
        <v>15861658</v>
      </c>
      <c r="F28" s="17">
        <f>zał2!E15</f>
        <v>9201048</v>
      </c>
      <c r="G28" s="17">
        <f>zał2!F15</f>
        <v>8373827.890000001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</row>
    <row r="29" spans="1:27" ht="12.75">
      <c r="A29" s="11" t="s">
        <v>35</v>
      </c>
      <c r="B29" s="18" t="s">
        <v>36</v>
      </c>
      <c r="C29" s="16"/>
      <c r="D29" s="16"/>
      <c r="E29" s="16"/>
      <c r="F29" s="17">
        <v>0</v>
      </c>
      <c r="G29" s="17">
        <f>zał2!F13</f>
        <v>1803765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24.75">
      <c r="A30" s="11">
        <v>12</v>
      </c>
      <c r="B30" s="21" t="s">
        <v>37</v>
      </c>
      <c r="C30" s="24">
        <f>SUM(C25-C26+C28)</f>
        <v>4107632</v>
      </c>
      <c r="D30" s="24">
        <f>SUM(D25-D26+D28)</f>
        <v>3242880</v>
      </c>
      <c r="E30" s="24">
        <f>SUM(E25-E26+E28)</f>
        <v>5804142.120000001</v>
      </c>
      <c r="F30" s="24">
        <f>SUM(F25-F26+F28)</f>
        <v>711077.9999999963</v>
      </c>
      <c r="G30" s="24">
        <f>SUM(G25-G26+G28)</f>
        <v>0</v>
      </c>
      <c r="H30" s="24">
        <f>SUM(H25-H26+H28)</f>
        <v>6950410.8364099935</v>
      </c>
      <c r="I30" s="24">
        <f>SUM(I25-I26+I28)</f>
        <v>17243567.764718212</v>
      </c>
      <c r="J30" s="24">
        <f>SUM(J25-J26+J28)</f>
        <v>18328864.72669399</v>
      </c>
      <c r="K30" s="24">
        <f>SUM(K25-K26+K28)</f>
        <v>19160166.300941013</v>
      </c>
      <c r="L30" s="24">
        <f>SUM(L25-L26+L28)</f>
        <v>19945292.672143172</v>
      </c>
      <c r="M30" s="24">
        <f>SUM(M25-M26+M28)</f>
        <v>20757979.042450733</v>
      </c>
      <c r="N30" s="24">
        <f>SUM(N25-N26+N28)</f>
        <v>21599167.404283874</v>
      </c>
      <c r="O30" s="24">
        <f>SUM(O25-O26+O28)</f>
        <v>23484812.23980124</v>
      </c>
      <c r="P30" s="24">
        <f>SUM(P25-P26+P28)</f>
        <v>25933493.90164112</v>
      </c>
      <c r="Q30" s="24">
        <f>SUM(Q25-Q26+Q28)</f>
        <v>26866259.48008444</v>
      </c>
      <c r="R30" s="24">
        <f>SUM(R25-R26+R28)</f>
        <v>27831674.907847375</v>
      </c>
      <c r="S30" s="24">
        <f>SUM(S25-S26+S28)</f>
        <v>28830864.353750486</v>
      </c>
      <c r="T30" s="24">
        <f>SUM(T25-T26+T28)</f>
        <v>29864990.196552526</v>
      </c>
      <c r="U30" s="24">
        <f>SUM(U25-U26+U28)</f>
        <v>30935254.310279593</v>
      </c>
      <c r="V30" s="24">
        <f>SUM(V25-V26+V28)</f>
        <v>32042899.392424367</v>
      </c>
      <c r="W30" s="24">
        <f>SUM(W25-W26+W28)</f>
        <v>33189210.336434484</v>
      </c>
      <c r="X30" s="24">
        <f>SUM(X25-X26+X28)</f>
        <v>34375515.649957374</v>
      </c>
      <c r="Y30" s="24">
        <f>SUM(Y25-Y26+Y28)</f>
        <v>35603188.92035541</v>
      </c>
      <c r="Z30" s="24">
        <f>SUM(Z25-Z26+Z28)</f>
        <v>36873638.32905637</v>
      </c>
      <c r="AA30" s="24">
        <f>SUM(AA25-AA26+AA28)</f>
        <v>38660216.21635526</v>
      </c>
    </row>
    <row r="31" spans="1:27" ht="12.75">
      <c r="A31" s="11">
        <v>13</v>
      </c>
      <c r="B31" s="12" t="s">
        <v>38</v>
      </c>
      <c r="C31" s="20">
        <v>24155833</v>
      </c>
      <c r="D31" s="20">
        <v>26648984.02</v>
      </c>
      <c r="E31" s="17">
        <f>zał2!D46</f>
        <v>38034525.7</v>
      </c>
      <c r="F31" s="17">
        <f>zał2!E46</f>
        <v>40534439.7</v>
      </c>
      <c r="G31" s="17">
        <f>zał2!F46</f>
        <v>41627126.7</v>
      </c>
      <c r="H31" s="17">
        <f>zał2!G46</f>
        <v>35772301.2655</v>
      </c>
      <c r="I31" s="17">
        <f>zał2!H46</f>
        <v>29917475.031000003</v>
      </c>
      <c r="J31" s="17">
        <f>zał2!I46</f>
        <v>26464512.796500005</v>
      </c>
      <c r="K31" s="17">
        <f>zał2!J46</f>
        <v>23011550.562000006</v>
      </c>
      <c r="L31" s="17">
        <f>zał2!K46</f>
        <v>19558588.327500008</v>
      </c>
      <c r="M31" s="17">
        <f>zał2!L46</f>
        <v>16105626.093000008</v>
      </c>
      <c r="N31" s="17">
        <f>zał2!M46</f>
        <v>12652654.858500008</v>
      </c>
      <c r="O31" s="17">
        <f>zał2!N46</f>
        <v>10214636.734000009</v>
      </c>
      <c r="P31" s="17">
        <f>zał2!O46</f>
        <v>9324097.339500008</v>
      </c>
      <c r="Q31" s="17">
        <f>zał2!P46</f>
        <v>8433557.945000008</v>
      </c>
      <c r="R31" s="17">
        <f>zał2!Q46</f>
        <v>7543018.550500007</v>
      </c>
      <c r="S31" s="17">
        <f>zał2!R46</f>
        <v>6652479.156000007</v>
      </c>
      <c r="T31" s="17">
        <f>zał2!S46</f>
        <v>5761939.761500007</v>
      </c>
      <c r="U31" s="17">
        <f>zał2!T46</f>
        <v>4871400.367000006</v>
      </c>
      <c r="V31" s="17">
        <f>zał2!U46</f>
        <v>3980860.972500006</v>
      </c>
      <c r="W31" s="17">
        <f>zał2!V46</f>
        <v>3090321.5780000063</v>
      </c>
      <c r="X31" s="17">
        <f>zał2!W46</f>
        <v>2199782.1835000063</v>
      </c>
      <c r="Y31" s="17">
        <f>zał2!X46</f>
        <v>1309242.7890000064</v>
      </c>
      <c r="Z31" s="17">
        <f>zał2!Y46</f>
        <v>418691.39450000634</v>
      </c>
      <c r="AA31" s="17">
        <f>zał2!Z46</f>
        <v>0</v>
      </c>
    </row>
    <row r="32" spans="1:27" ht="24.75">
      <c r="A32" s="14" t="s">
        <v>6</v>
      </c>
      <c r="B32" s="18" t="s">
        <v>39</v>
      </c>
      <c r="C32" s="25">
        <v>4861053</v>
      </c>
      <c r="D32" s="25">
        <v>7964322</v>
      </c>
      <c r="E32" s="17">
        <f>zał2!D47</f>
        <v>9438082</v>
      </c>
      <c r="F32" s="17">
        <f>zał2!E47</f>
        <v>8929764.1</v>
      </c>
      <c r="G32" s="17">
        <f>zał2!F47</f>
        <v>10316494.2</v>
      </c>
      <c r="H32" s="17">
        <f>zał2!G47</f>
        <v>9101058.95</v>
      </c>
      <c r="I32" s="17">
        <f>zał2!H47</f>
        <v>7885623.699999999</v>
      </c>
      <c r="J32" s="17">
        <f>zał2!I47</f>
        <v>6893905.449999999</v>
      </c>
      <c r="K32" s="17">
        <f>zał2!J47</f>
        <v>5902187.199999999</v>
      </c>
      <c r="L32" s="17">
        <f>zał2!K47</f>
        <v>4910468.949999999</v>
      </c>
      <c r="M32" s="17">
        <f>zał2!L47</f>
        <v>3918750.6999999993</v>
      </c>
      <c r="N32" s="17">
        <f>zał2!M47</f>
        <v>2927029.4499999993</v>
      </c>
      <c r="O32" s="17">
        <f>zał2!N47</f>
        <v>2406726.1999999993</v>
      </c>
      <c r="P32" s="17">
        <f>zał2!O47</f>
        <v>2199903.849999999</v>
      </c>
      <c r="Q32" s="17">
        <f>zał2!P47</f>
        <v>1993081.499999999</v>
      </c>
      <c r="R32" s="17">
        <f>zał2!Q47</f>
        <v>1786259.149999999</v>
      </c>
      <c r="S32" s="17">
        <f>zał2!R47</f>
        <v>1579436.7999999989</v>
      </c>
      <c r="T32" s="17">
        <f>zał2!S47</f>
        <v>1372614.4499999988</v>
      </c>
      <c r="U32" s="17">
        <f>zał2!T47</f>
        <v>1165792.0999999987</v>
      </c>
      <c r="V32" s="17">
        <f>zał2!U47</f>
        <v>958969.7499999987</v>
      </c>
      <c r="W32" s="17">
        <f>zał2!V47</f>
        <v>752147.3999999987</v>
      </c>
      <c r="X32" s="17">
        <f>zał2!W47</f>
        <v>545325.0499999988</v>
      </c>
      <c r="Y32" s="17">
        <f>zał2!X47</f>
        <v>338502.6999999988</v>
      </c>
      <c r="Z32" s="17">
        <f>zał2!Y47</f>
        <v>131634.34999999878</v>
      </c>
      <c r="AA32" s="17">
        <f>zał2!Z47</f>
        <v>-1.2223608791828156E-09</v>
      </c>
    </row>
    <row r="33" spans="1:27" ht="36.75">
      <c r="A33" s="14" t="s">
        <v>8</v>
      </c>
      <c r="B33" s="18" t="s">
        <v>40</v>
      </c>
      <c r="C33" s="25">
        <v>1443268</v>
      </c>
      <c r="D33" s="25">
        <v>1189634</v>
      </c>
      <c r="E33" s="17">
        <f>zał2!D26</f>
        <v>1661049</v>
      </c>
      <c r="F33" s="17">
        <f>zał2!E26</f>
        <v>1974529.9</v>
      </c>
      <c r="G33" s="17">
        <f>zał2!F26</f>
        <v>1245956.9</v>
      </c>
      <c r="H33" s="17">
        <f>zał2!G26</f>
        <v>1215435.25</v>
      </c>
      <c r="I33" s="17">
        <f>zał2!H26</f>
        <v>1215435.25</v>
      </c>
      <c r="J33" s="17">
        <f>zał2!I26</f>
        <v>991718.25</v>
      </c>
      <c r="K33" s="17">
        <f>zał2!J26</f>
        <v>991718.25</v>
      </c>
      <c r="L33" s="17">
        <f>zał2!K26</f>
        <v>991718.25</v>
      </c>
      <c r="M33" s="17">
        <f>zał2!L26</f>
        <v>991718.25</v>
      </c>
      <c r="N33" s="17">
        <f>zał2!M26</f>
        <v>991721.25</v>
      </c>
      <c r="O33" s="17">
        <f>zał2!N26</f>
        <v>520303.25</v>
      </c>
      <c r="P33" s="17">
        <f>zał2!O26</f>
        <v>206822.35</v>
      </c>
      <c r="Q33" s="17">
        <f>zał2!P26</f>
        <v>206822.35</v>
      </c>
      <c r="R33" s="17">
        <f>zał2!Q26</f>
        <v>206822.35</v>
      </c>
      <c r="S33" s="17">
        <f>zał2!R26</f>
        <v>206822.35</v>
      </c>
      <c r="T33" s="17">
        <f>zał2!S26</f>
        <v>206822.35</v>
      </c>
      <c r="U33" s="17">
        <f>zał2!T26</f>
        <v>206822.35</v>
      </c>
      <c r="V33" s="17">
        <f>zał2!U26</f>
        <v>206822.35</v>
      </c>
      <c r="W33" s="17">
        <f>zał2!V26</f>
        <v>206822.35</v>
      </c>
      <c r="X33" s="17">
        <f>zał2!W26</f>
        <v>206822.35</v>
      </c>
      <c r="Y33" s="17">
        <f>zał2!X26</f>
        <v>206822.35</v>
      </c>
      <c r="Z33" s="17">
        <f>zał2!Y26</f>
        <v>206868.35</v>
      </c>
      <c r="AA33" s="17">
        <f>zał2!Z26</f>
        <v>131634.35</v>
      </c>
    </row>
    <row r="34" spans="1:27" ht="48.75">
      <c r="A34" s="11">
        <v>14</v>
      </c>
      <c r="B34" s="21" t="s">
        <v>41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</row>
    <row r="35" spans="1:27" ht="12.75">
      <c r="A35" s="11">
        <v>15</v>
      </c>
      <c r="B35" s="21" t="s">
        <v>42</v>
      </c>
      <c r="C35" s="26">
        <f>zał2!B42</f>
        <v>0.06294843871374606</v>
      </c>
      <c r="D35" s="26">
        <f>zał2!C42</f>
        <v>0.08862409085697345</v>
      </c>
      <c r="E35" s="26">
        <f>zał2!D42</f>
        <v>0.079752272500536</v>
      </c>
      <c r="F35" s="26">
        <f>zał2!E42</f>
        <v>0.08775242377238743</v>
      </c>
      <c r="G35" s="26">
        <f>zał2!F42</f>
        <v>0.09371102816745246</v>
      </c>
      <c r="H35" s="26">
        <f>zał2!G42</f>
        <v>0.0997875339407974</v>
      </c>
      <c r="I35" s="26">
        <f>zał2!H42</f>
        <v>0.09844996743230153</v>
      </c>
      <c r="J35" s="26">
        <f>zał2!I42</f>
        <v>0.06009381017750474</v>
      </c>
      <c r="K35" s="26">
        <f>zał2!J42</f>
        <v>0.055307582457653284</v>
      </c>
      <c r="L35" s="26">
        <f>zał2!K42</f>
        <v>0.05075453414636874</v>
      </c>
      <c r="M35" s="26">
        <f>zał2!L42</f>
        <v>0.04642497979505961</v>
      </c>
      <c r="N35" s="26">
        <f>zał2!M42</f>
        <v>0.04230967700965359</v>
      </c>
      <c r="O35" s="26">
        <f>zał2!N42</f>
        <v>0.03224895524814846</v>
      </c>
      <c r="P35" s="26">
        <f>zał2!O42</f>
        <v>0.015366892057127548</v>
      </c>
      <c r="Q35" s="26">
        <f>zał2!P42</f>
        <v>0.014264982985419764</v>
      </c>
      <c r="R35" s="26">
        <f>zał2!Q42</f>
        <v>0.013215377883018532</v>
      </c>
      <c r="S35" s="26">
        <f>zał2!R42</f>
        <v>0.01221592973011953</v>
      </c>
      <c r="T35" s="26">
        <f>zał2!S42</f>
        <v>0.011264573266752662</v>
      </c>
      <c r="U35" s="26">
        <f>zał2!T42</f>
        <v>0.010359322019229808</v>
      </c>
      <c r="V35" s="26">
        <f>zał2!U42</f>
        <v>0.009498265431427537</v>
      </c>
      <c r="W35" s="26">
        <f>zał2!V42</f>
        <v>0.008679566097290828</v>
      </c>
      <c r="X35" s="26">
        <f>zał2!W42</f>
        <v>0.00790145709106631</v>
      </c>
      <c r="Y35" s="26">
        <f>zał2!X42</f>
        <v>0.00716223939189186</v>
      </c>
      <c r="Z35" s="26">
        <f>zał2!Y42</f>
        <v>0.006459962965396344</v>
      </c>
      <c r="AA35" s="26">
        <f>zał2!Z42</f>
        <v>0.0025376761091182023</v>
      </c>
    </row>
    <row r="36" spans="1:27" ht="24.75">
      <c r="A36" s="11" t="s">
        <v>6</v>
      </c>
      <c r="B36" s="21" t="s">
        <v>43</v>
      </c>
      <c r="C36" s="27" t="s">
        <v>44</v>
      </c>
      <c r="D36" s="27" t="s">
        <v>44</v>
      </c>
      <c r="E36" s="27" t="s">
        <v>44</v>
      </c>
      <c r="F36" s="26">
        <f>((E6+E8-E10-E23)/E5+(D6+D8-D10-D23)/D5+(C6+C8-C10-C23)/C5)/3</f>
        <v>0.0845167385672977</v>
      </c>
      <c r="G36" s="26">
        <f>((F6+F8-F10-F23)/F5+(E6+E8-E10-E23)/E5+(D6+D8-D10-D23)/D5)/3</f>
        <v>0.09486854270000923</v>
      </c>
      <c r="H36" s="26">
        <f>((G6+G8-G10-G23)/G5+(F6+F8-F10-F23)/F5+(E6+E8-E10-E23)/E5)/3</f>
        <v>0.08366746538734798</v>
      </c>
      <c r="I36" s="26">
        <f>((H6+H8-H10-H23)/H5+(G6+G8-G10-G23)/G5+(F6+F8-F10-F23)/F5)/3</f>
        <v>0.12640653123400936</v>
      </c>
      <c r="J36" s="26">
        <f>((I6+I8-I10-I23)/I5+(H6+H8-H10-H23)/H5+(G6+G8-G10-G23)/G5)/3</f>
        <v>0.14077754864120282</v>
      </c>
      <c r="K36" s="26">
        <f>((J6+J8-J10-J23)/J5+(I6+I8-I10-I23)/I5+(H6+H8-H10-H23)/H5)/3</f>
        <v>0.1815974530765252</v>
      </c>
      <c r="L36" s="26">
        <f>((K6+K8-K10-K23)/K5+(J6+J8-J10-J23)/J5+(I6+I8-I10-I23)/I5)/3</f>
        <v>0.1637543292231365</v>
      </c>
      <c r="M36" s="26">
        <f>((L6+L8-L10-L23)/L5+(K6+K8-K10-K23)/K5+(J6+J8-J10-J23)/J5)/3</f>
        <v>0.1645203316914855</v>
      </c>
      <c r="N36" s="26">
        <f>((M6+M8-M10-M23)/M5+(L6+L8-L10-L23)/L5+(K6+K8-K10-K23)/K5)/3</f>
        <v>0.16528567377545444</v>
      </c>
      <c r="O36" s="26">
        <f>((N6+N8-N10-N23)/N5+(M6+M8-M10-M23)/M5+(L6+L8-L10-L23)/L5)/3</f>
        <v>0.16605035596878062</v>
      </c>
      <c r="P36" s="26">
        <f>((O6+O8-O10-O23)/O5+(N6+N8-N10-N23)/N5+(M6+M8-M10-M23)/M5)/3</f>
        <v>0.16681437876497107</v>
      </c>
      <c r="Q36" s="26">
        <f>((P6+P8-P10-P23)/P5+(O6+O8-O10-O23)/O5+(N6+N8-N10-N23)/N5)/3</f>
        <v>0.16757774265730255</v>
      </c>
      <c r="R36" s="26">
        <f>((Q6+Q8-Q10-Q23)/Q5+(P6+P8-P10-P23)/P5+(O6+O8-O10-O23)/O5)/3</f>
        <v>0.16834044813882146</v>
      </c>
      <c r="S36" s="26">
        <f>((R6+R8-R10-R23)/R5+(Q6+Q8-Q10-Q23)/Q5+(P6+P8-P10-P23)/P5)/3</f>
        <v>0.16910249570234334</v>
      </c>
      <c r="T36" s="26">
        <f>((S6+S8-S10-S23)/S5+(R6+R8-R10-R23)/R5+(Q6+Q8-Q10-Q23)/Q5)/3</f>
        <v>0.1698638858404529</v>
      </c>
      <c r="U36" s="26">
        <f>((T6+T8-T10-T23)/T5+(S6+S8-S10-S23)/S5+(R6+R8-R10-R23)/R5)/3</f>
        <v>0.17062461904550397</v>
      </c>
      <c r="V36" s="26">
        <f>((U6+U8-U10-U23)/U5+(T6+T8-T10-T23)/T5+(S6+S8-S10-S23)/S5)/3</f>
        <v>0.17138469580961901</v>
      </c>
      <c r="W36" s="26">
        <f>((V6+V8-V10-V23)/V5+(U6+U8-U10-U23)/U5+(T6+T8-T10-T23)/T5)/3</f>
        <v>0.17214411662468954</v>
      </c>
      <c r="X36" s="26">
        <f>((W6+W8-W10-W23)/W5+(V6+V8-V10-V23)/V5+(U6+U8-U10-U23)/U5)/3</f>
        <v>0.17290288198237516</v>
      </c>
      <c r="Y36" s="26">
        <f>((X6+X8-X10-X23)/X5+(W6+W8-W10-W23)/W5+(V6+V8-V10-V23)/V5)/3</f>
        <v>0.17366099237410418</v>
      </c>
      <c r="Z36" s="26">
        <f>((Y6+Y8-Y10-Y23)/Y5+(X6+X8-X10-X23)/X5+(W6+W8-W10-W23)/W5)/3</f>
        <v>0.1744184482910728</v>
      </c>
      <c r="AA36" s="26">
        <f>((Z6+Z8-Z10-Z23)/Z5+(Y6+Y8-Y10-Y23)/Y5+(X6+X8-X10-X23)/X5)/3</f>
        <v>0.17517525022424554</v>
      </c>
    </row>
    <row r="37" spans="1:27" ht="24.75">
      <c r="A37" s="11">
        <v>16</v>
      </c>
      <c r="B37" s="21" t="s">
        <v>45</v>
      </c>
      <c r="C37" s="28" t="s">
        <v>44</v>
      </c>
      <c r="D37" s="28" t="s">
        <v>44</v>
      </c>
      <c r="E37" s="28" t="s">
        <v>44</v>
      </c>
      <c r="F37" s="29" t="str">
        <f>IF(F35&lt;=F36,"TAK","NIE")</f>
        <v>NIE</v>
      </c>
      <c r="G37" s="29" t="str">
        <f>IF(G35&lt;=G36,"TAK","NIE")</f>
        <v>TAK</v>
      </c>
      <c r="H37" s="29" t="str">
        <f>IF(H35&lt;=H36,"TAK","NIE")</f>
        <v>NIE</v>
      </c>
      <c r="I37" s="29" t="str">
        <f>IF(I35&lt;=I36,"TAK","NIE")</f>
        <v>TAK</v>
      </c>
      <c r="J37" s="29" t="str">
        <f>IF(J35&lt;=J36,"TAK","NIE")</f>
        <v>TAK</v>
      </c>
      <c r="K37" s="29" t="str">
        <f>IF(K35&lt;=K36,"TAK","NIE")</f>
        <v>TAK</v>
      </c>
      <c r="L37" s="29" t="str">
        <f>IF(L35&lt;=L36,"TAK","NIE")</f>
        <v>TAK</v>
      </c>
      <c r="M37" s="29" t="str">
        <f>IF(M35&lt;=M36,"TAK","NIE")</f>
        <v>TAK</v>
      </c>
      <c r="N37" s="29" t="str">
        <f>IF(N35&lt;=N36,"TAK","NIE")</f>
        <v>TAK</v>
      </c>
      <c r="O37" s="29" t="str">
        <f>IF(O35&lt;=O36,"TAK","NIE")</f>
        <v>TAK</v>
      </c>
      <c r="P37" s="29" t="str">
        <f>IF(P35&lt;=P36,"TAK","NIE")</f>
        <v>TAK</v>
      </c>
      <c r="Q37" s="29" t="str">
        <f>IF(Q35&lt;=Q36,"TAK","NIE")</f>
        <v>TAK</v>
      </c>
      <c r="R37" s="29" t="str">
        <f>IF(R35&lt;=R36,"TAK","NIE")</f>
        <v>TAK</v>
      </c>
      <c r="S37" s="29" t="str">
        <f>IF(S35&lt;=S36,"TAK","NIE")</f>
        <v>TAK</v>
      </c>
      <c r="T37" s="29" t="str">
        <f>IF(T35&lt;=T36,"TAK","NIE")</f>
        <v>TAK</v>
      </c>
      <c r="U37" s="29" t="str">
        <f>IF(U35&lt;=U36,"TAK","NIE")</f>
        <v>TAK</v>
      </c>
      <c r="V37" s="29" t="str">
        <f>IF(V35&lt;=V36,"TAK","NIE")</f>
        <v>TAK</v>
      </c>
      <c r="W37" s="29" t="str">
        <f>IF(W35&lt;=W36,"TAK","NIE")</f>
        <v>TAK</v>
      </c>
      <c r="X37" s="29" t="str">
        <f>IF(X35&lt;=X36,"TAK","NIE")</f>
        <v>TAK</v>
      </c>
      <c r="Y37" s="29" t="str">
        <f>IF(Y35&lt;=Y36,"TAK","NIE")</f>
        <v>TAK</v>
      </c>
      <c r="Z37" s="29" t="str">
        <f>IF(Z35&lt;=Z36,"TAK","NIE")</f>
        <v>TAK</v>
      </c>
      <c r="AA37" s="29" t="str">
        <f>IF(AA35&lt;=AA36,"TAK","NIE")</f>
        <v>TAK</v>
      </c>
    </row>
    <row r="38" spans="1:27" ht="36.75">
      <c r="A38" s="11">
        <v>17</v>
      </c>
      <c r="B38" s="30" t="s">
        <v>46</v>
      </c>
      <c r="C38" s="31">
        <f>SUM(C21-C33+C13)/C5</f>
        <v>0.06405910593329357</v>
      </c>
      <c r="D38" s="31">
        <f>SUM(D21-D33+D13)/D5</f>
        <v>0.09000786764321199</v>
      </c>
      <c r="E38" s="31">
        <f>SUM(E21-E33+E13)/E5</f>
        <v>0.086062524227661</v>
      </c>
      <c r="F38" s="31">
        <f>SUM(F21-F52-F33+F13)/F5</f>
        <v>0.09254092257301441</v>
      </c>
      <c r="G38" s="31">
        <f>SUM(G21-G52-G33+G13)/G5</f>
        <v>0.1072752115191839</v>
      </c>
      <c r="H38" s="31">
        <f>SUM(H21-H52-H33+H13)/H5</f>
        <v>0.11449303497341227</v>
      </c>
      <c r="I38" s="31">
        <f>SUM(I21-I52-I33+I13)/I5</f>
        <v>0.09844996743230153</v>
      </c>
      <c r="J38" s="31">
        <f>SUM(J21-J52-J33+J13)/J5</f>
        <v>0.06009381017750474</v>
      </c>
      <c r="K38" s="31">
        <f>SUM(K21-K52-K33+K13)/K5</f>
        <v>0.055307582457653284</v>
      </c>
      <c r="L38" s="31">
        <f>SUM(L21-L52-L33+L13)/L5</f>
        <v>0.05075453414636875</v>
      </c>
      <c r="M38" s="31">
        <f>SUM(M21-M52-M33+M13)/M5</f>
        <v>0.04642497979505961</v>
      </c>
      <c r="N38" s="31">
        <f>SUM(N21-N52-N33+N13)/N5</f>
        <v>0.04230967700965359</v>
      </c>
      <c r="O38" s="31">
        <f>SUM(O21-O52-O33+O13)/O5</f>
        <v>0.03224895524814846</v>
      </c>
      <c r="P38" s="31">
        <f>SUM(P21-P52-P33+P13)/P5</f>
        <v>0.015366892057127544</v>
      </c>
      <c r="Q38" s="31">
        <f>SUM(Q21-Q52-Q33+Q13)/Q5</f>
        <v>0.01426498298541976</v>
      </c>
      <c r="R38" s="31">
        <f>SUM(R21-R52-R33+R13)/R5</f>
        <v>0.013215377883018532</v>
      </c>
      <c r="S38" s="31">
        <f>SUM(S21-S52-S33+S13)/S5</f>
        <v>0.012215929730119528</v>
      </c>
      <c r="T38" s="31">
        <f>SUM(T21-T52-T33+T13)/T5</f>
        <v>0.011264573266752662</v>
      </c>
      <c r="U38" s="31">
        <f>SUM(U21-U52-U33+U13)/U5</f>
        <v>0.010359322019229808</v>
      </c>
      <c r="V38" s="31">
        <f>SUM(V21-V52-V33+V13)/V5</f>
        <v>0.009498265431427535</v>
      </c>
      <c r="W38" s="31">
        <f>SUM(W21-W52-W33+W13)/W5</f>
        <v>0.008679566097290828</v>
      </c>
      <c r="X38" s="31">
        <f>SUM(X21-X52-X33+X13)/X5</f>
        <v>0.00790145709106631</v>
      </c>
      <c r="Y38" s="31">
        <f>SUM(Y21-Y52-Y33+Y13)/Y5</f>
        <v>0.00716223939189186</v>
      </c>
      <c r="Z38" s="31">
        <f>SUM(Z21-Z52-Z33+Z13)/Z5</f>
        <v>0.006459962965396344</v>
      </c>
      <c r="AA38" s="31">
        <f>SUM(AA21-AA52-AA33+AA13)/AA5</f>
        <v>0.0025376761091182023</v>
      </c>
    </row>
    <row r="39" spans="1:27" ht="24.75">
      <c r="A39" s="11">
        <v>18</v>
      </c>
      <c r="B39" s="32" t="s">
        <v>47</v>
      </c>
      <c r="C39" s="26">
        <f>SUM(C31-C32)/C5</f>
        <v>0.3408796292869238</v>
      </c>
      <c r="D39" s="26">
        <f>SUM(D31-D32)/D5</f>
        <v>0.2846602655010411</v>
      </c>
      <c r="E39" s="26">
        <f>SUM(E31-E32)/E5</f>
        <v>0.37593907968241225</v>
      </c>
      <c r="F39" s="26">
        <f>SUM(F31-F32)/F5</f>
        <v>0.4348820436919674</v>
      </c>
      <c r="G39" s="26">
        <f>SUM(G31-G32)/G5</f>
        <v>0.3562945973898335</v>
      </c>
      <c r="H39" s="26">
        <f>SUM(H31-H32)/H5</f>
        <v>0.39221398141170716</v>
      </c>
      <c r="I39" s="26">
        <f>SUM(I31-I32)/I5</f>
        <v>0.3370977457489922</v>
      </c>
      <c r="J39" s="26">
        <f>SUM(J31-J32)/J5</f>
        <v>0.29045172460817925</v>
      </c>
      <c r="K39" s="26">
        <f>SUM(K31-K32)/K5</f>
        <v>0.24630219611985868</v>
      </c>
      <c r="L39" s="26">
        <f>SUM(L31-L32)/L5</f>
        <v>0.20454132364896618</v>
      </c>
      <c r="M39" s="26">
        <f>SUM(M31-M32)/M5</f>
        <v>0.16506549461142045</v>
      </c>
      <c r="N39" s="26">
        <f>SUM(N31-N32)/N5</f>
        <v>0.1277750852402022</v>
      </c>
      <c r="O39" s="26">
        <f>SUM(O31-O32)/O5</f>
        <v>0.09950116418471552</v>
      </c>
      <c r="P39" s="26">
        <f>SUM(P31-P32)/P5</f>
        <v>0.08806304763408827</v>
      </c>
      <c r="Q39" s="26">
        <f>SUM(Q31-Q32)/Q5</f>
        <v>0.0772219298982559</v>
      </c>
      <c r="R39" s="26">
        <f>SUM(R31-R32)/R5</f>
        <v>0.0669522786383804</v>
      </c>
      <c r="S39" s="26">
        <f>SUM(S31-S32)/S5</f>
        <v>0.05722955632194272</v>
      </c>
      <c r="T39" s="26">
        <f>SUM(T31-T32)/T5</f>
        <v>0.04803018350965931</v>
      </c>
      <c r="U39" s="26">
        <f>SUM(U31-U32)/U5</f>
        <v>0.03933150344993659</v>
      </c>
      <c r="V39" s="26">
        <f>SUM(V31-V32)/V5</f>
        <v>0.031111747935451985</v>
      </c>
      <c r="W39" s="26">
        <f>SUM(W31-W32)/W5</f>
        <v>0.023350004377997485</v>
      </c>
      <c r="X39" s="26">
        <f>SUM(X31-X32)/X5</f>
        <v>0.0160261840592177</v>
      </c>
      <c r="Y39" s="26">
        <f>SUM(Y31-Y32)/Y5</f>
        <v>0.009120991516320325</v>
      </c>
      <c r="Z39" s="26">
        <f>SUM(Z31-Z32)/Z5</f>
        <v>0.0026162048953240085</v>
      </c>
      <c r="AA39" s="26">
        <f>SUM(AA31-AA32)/AA5</f>
        <v>1.080606123157849E-17</v>
      </c>
    </row>
    <row r="40" spans="1:27" ht="12.75">
      <c r="A40" s="11">
        <v>19</v>
      </c>
      <c r="B40" s="12" t="s">
        <v>48</v>
      </c>
      <c r="C40" s="33">
        <f>SUM(C10,C23)</f>
        <v>46152445</v>
      </c>
      <c r="D40" s="33">
        <f>SUM(D10,D23)</f>
        <v>51664524</v>
      </c>
      <c r="E40" s="33">
        <f>SUM(E10,E23)</f>
        <v>54479628.2</v>
      </c>
      <c r="F40" s="33">
        <f>SUM(F10,F23)</f>
        <v>54856635.79</v>
      </c>
      <c r="G40" s="33">
        <f>SUM(G10,G23)</f>
        <v>60342254.61</v>
      </c>
      <c r="H40" s="33">
        <f>SUM(H10,H23)</f>
        <v>51033300</v>
      </c>
      <c r="I40" s="33">
        <f>SUM(I10,I23)</f>
        <v>52564299</v>
      </c>
      <c r="J40" s="33">
        <f>SUM(J10,J23)</f>
        <v>54141227.97</v>
      </c>
      <c r="K40" s="33">
        <f>SUM(K10,K23)</f>
        <v>55765464.8091</v>
      </c>
      <c r="L40" s="33">
        <f>SUM(L10,L23)</f>
        <v>57438428.753373004</v>
      </c>
      <c r="M40" s="33">
        <f>SUM(M10,M23)</f>
        <v>59161581.615974195</v>
      </c>
      <c r="N40" s="33">
        <f>SUM(N10,N23)</f>
        <v>60936429.06445342</v>
      </c>
      <c r="O40" s="33">
        <f>SUM(O10,O23)</f>
        <v>62764521.936387025</v>
      </c>
      <c r="P40" s="33">
        <f>SUM(P10,P23)</f>
        <v>64647457.59447864</v>
      </c>
      <c r="Q40" s="33">
        <f>SUM(Q10,Q23)</f>
        <v>66586881.322312996</v>
      </c>
      <c r="R40" s="33">
        <f>SUM(R10,R23)</f>
        <v>68584487.76198238</v>
      </c>
      <c r="S40" s="33">
        <f>SUM(S10,S23)</f>
        <v>70642022.39484185</v>
      </c>
      <c r="T40" s="33">
        <f>SUM(T10,T23)</f>
        <v>72761283.0666871</v>
      </c>
      <c r="U40" s="33">
        <f>SUM(U10,U23)</f>
        <v>74944121.55868772</v>
      </c>
      <c r="V40" s="33">
        <f>SUM(V10,V23)</f>
        <v>77192445.20544834</v>
      </c>
      <c r="W40" s="33">
        <f>SUM(W10,W23)</f>
        <v>79508218.5616118</v>
      </c>
      <c r="X40" s="33">
        <f>SUM(X10,X23)</f>
        <v>81893465.11846015</v>
      </c>
      <c r="Y40" s="33">
        <f>SUM(Y10,Y23)</f>
        <v>84350269.07201396</v>
      </c>
      <c r="Z40" s="33">
        <f>SUM(Z10,Z23)</f>
        <v>86880777.14417438</v>
      </c>
      <c r="AA40" s="33">
        <f>SUM(AA10,AA23)</f>
        <v>89487200.45849961</v>
      </c>
    </row>
    <row r="41" spans="1:27" ht="12.75">
      <c r="A41" s="11">
        <v>20</v>
      </c>
      <c r="B41" s="34" t="s">
        <v>49</v>
      </c>
      <c r="C41" s="33">
        <f>SUM(C26,C40)</f>
        <v>64898002</v>
      </c>
      <c r="D41" s="33">
        <f>SUM(D26,D40)</f>
        <v>71336733</v>
      </c>
      <c r="E41" s="33">
        <f>SUM(E26,E40)</f>
        <v>82713065.63</v>
      </c>
      <c r="F41" s="33">
        <f>SUM(F26,F40)</f>
        <v>80446015.95</v>
      </c>
      <c r="G41" s="33">
        <f>SUM(G26,G40)</f>
        <v>89682258.61</v>
      </c>
      <c r="H41" s="33">
        <f>SUM(H26,H40)</f>
        <v>55946527</v>
      </c>
      <c r="I41" s="33">
        <f>SUM(I26,I40)</f>
        <v>55064299</v>
      </c>
      <c r="J41" s="33">
        <f>SUM(J26,J40)</f>
        <v>56641227.97</v>
      </c>
      <c r="K41" s="33">
        <f>SUM(K26,K40)</f>
        <v>58340464.8091</v>
      </c>
      <c r="L41" s="33">
        <f>SUM(L26,L40)</f>
        <v>60090678.753373004</v>
      </c>
      <c r="M41" s="33">
        <f>SUM(M26,M40)</f>
        <v>61893399.115974195</v>
      </c>
      <c r="N41" s="33">
        <f>SUM(N26,N40)</f>
        <v>63750201.08945342</v>
      </c>
      <c r="O41" s="33">
        <f>SUM(O26,O40)</f>
        <v>65662707.122137025</v>
      </c>
      <c r="P41" s="33">
        <f>SUM(P26,P40)</f>
        <v>67632588.33580114</v>
      </c>
      <c r="Q41" s="33">
        <f>SUM(Q26,Q40)</f>
        <v>69661565.98587517</v>
      </c>
      <c r="R41" s="33">
        <f>SUM(R26,R40)</f>
        <v>71751412.96545142</v>
      </c>
      <c r="S41" s="33">
        <f>SUM(S26,S40)</f>
        <v>73903955.35441495</v>
      </c>
      <c r="T41" s="33">
        <f>SUM(T26,T40)</f>
        <v>76121074.01504742</v>
      </c>
      <c r="U41" s="33">
        <f>SUM(U26,U40)</f>
        <v>78404706.23549883</v>
      </c>
      <c r="V41" s="33">
        <f>SUM(V26,V40)</f>
        <v>80756847.42256379</v>
      </c>
      <c r="W41" s="33">
        <f>SUM(W26,W40)</f>
        <v>83179552.84524071</v>
      </c>
      <c r="X41" s="33">
        <f>SUM(X26,X40)</f>
        <v>85674939.43059793</v>
      </c>
      <c r="Y41" s="33">
        <f>SUM(Y26,Y40)</f>
        <v>88245187.61351587</v>
      </c>
      <c r="Z41" s="33">
        <f>SUM(Z26,Z40)</f>
        <v>90892543.24192135</v>
      </c>
      <c r="AA41" s="33">
        <f>SUM(AA26,AA40)</f>
        <v>93619319.53917898</v>
      </c>
    </row>
    <row r="42" spans="1:27" ht="12.75">
      <c r="A42" s="35">
        <v>21</v>
      </c>
      <c r="B42" s="36" t="s">
        <v>50</v>
      </c>
      <c r="C42" s="33">
        <f>SUM(C5-C41)</f>
        <v>-8295089</v>
      </c>
      <c r="D42" s="33">
        <f>SUM(D5-D41)</f>
        <v>-5698271</v>
      </c>
      <c r="E42" s="33">
        <f>SUM(E5-E41)</f>
        <v>-6646369.599999994</v>
      </c>
      <c r="F42" s="33">
        <f>SUM(F5-F41)</f>
        <v>-7771882.680000007</v>
      </c>
      <c r="G42" s="33">
        <f>SUM(G5-G41)</f>
        <v>-1803765</v>
      </c>
      <c r="H42" s="33">
        <f>SUM(H5-H41)</f>
        <v>12055236.270909995</v>
      </c>
      <c r="I42" s="33">
        <f>SUM(I5-I41)</f>
        <v>10293157.728308216</v>
      </c>
      <c r="J42" s="33">
        <f>SUM(J5-J41)</f>
        <v>10738669.232885778</v>
      </c>
      <c r="K42" s="33">
        <f>SUM(K5-K41)</f>
        <v>11124459.302555233</v>
      </c>
      <c r="L42" s="33">
        <f>SUM(L5-L41)</f>
        <v>11523795.604087941</v>
      </c>
      <c r="M42" s="33">
        <f>SUM(M5-M41)</f>
        <v>11937145.67286279</v>
      </c>
      <c r="N42" s="33">
        <f>SUM(N5-N41)</f>
        <v>12364992.965921082</v>
      </c>
      <c r="O42" s="33">
        <f>SUM(O5-O41)</f>
        <v>12807837.39838016</v>
      </c>
      <c r="P42" s="33">
        <f>SUM(P5-P41)</f>
        <v>13266195.897760957</v>
      </c>
      <c r="Q42" s="33">
        <f>SUM(Q5-Q41)</f>
        <v>13740602.976823479</v>
      </c>
      <c r="R42" s="33">
        <f>SUM(R5-R41)</f>
        <v>14231611.325523898</v>
      </c>
      <c r="S42" s="33">
        <f>SUM(S5-S41)</f>
        <v>14739792.422726601</v>
      </c>
      <c r="T42" s="33">
        <f>SUM(T5-T41)</f>
        <v>15265737.168325916</v>
      </c>
      <c r="U42" s="33">
        <f>SUM(U5-U41)</f>
        <v>15810056.53645368</v>
      </c>
      <c r="V42" s="33">
        <f>SUM(V5-V41)</f>
        <v>16373382.250470683</v>
      </c>
      <c r="W42" s="33">
        <f>SUM(W5-W41)</f>
        <v>16956367.480463803</v>
      </c>
      <c r="X42" s="33">
        <f>SUM(X5-X41)</f>
        <v>17559687.563993573</v>
      </c>
      <c r="Y42" s="33">
        <f>SUM(Y5-Y41)</f>
        <v>18184040.75086184</v>
      </c>
      <c r="Z42" s="33">
        <f>SUM(Z5-Z41)</f>
        <v>18830148.97269453</v>
      </c>
      <c r="AA42" s="33">
        <f>SUM(AA5-AA41)</f>
        <v>19498758.638160735</v>
      </c>
    </row>
    <row r="43" spans="1:27" ht="12.75">
      <c r="A43" s="35">
        <v>22</v>
      </c>
      <c r="B43" s="36" t="s">
        <v>51</v>
      </c>
      <c r="C43" s="33">
        <f>SUM(C28,C17)</f>
        <v>16619580</v>
      </c>
      <c r="D43" s="33">
        <f>SUM(D28,D17)</f>
        <v>14873160</v>
      </c>
      <c r="E43" s="33">
        <f>SUM(E28,E17)</f>
        <v>18926628</v>
      </c>
      <c r="F43" s="33">
        <f>SUM(F28,F17)</f>
        <v>15184094.68</v>
      </c>
      <c r="G43" s="33">
        <f>SUM(G28,G17)</f>
        <v>9084905.89</v>
      </c>
      <c r="H43" s="33">
        <f>SUM(H28,H17)</f>
        <v>750000</v>
      </c>
      <c r="I43" s="33">
        <f>SUM(I28,I17)</f>
        <v>12805236.270909995</v>
      </c>
      <c r="J43" s="33">
        <f>SUM(J28,J17)</f>
        <v>11043157.728308216</v>
      </c>
      <c r="K43" s="33">
        <f>SUM(K28,K17)</f>
        <v>11488669.232885778</v>
      </c>
      <c r="L43" s="33">
        <f>SUM(L28,L17)</f>
        <v>11874459.302555233</v>
      </c>
      <c r="M43" s="33">
        <f>SUM(M28,M17)</f>
        <v>12273795.604087941</v>
      </c>
      <c r="N43" s="33">
        <f>SUM(N28,N17)</f>
        <v>12687145.67286279</v>
      </c>
      <c r="O43" s="33">
        <f>SUM(O28,O17)</f>
        <v>13114992.965921082</v>
      </c>
      <c r="P43" s="33">
        <f>SUM(P28,P17)</f>
        <v>13557837.39838016</v>
      </c>
      <c r="Q43" s="33">
        <f>SUM(Q28,Q17)</f>
        <v>14016195.897760957</v>
      </c>
      <c r="R43" s="33">
        <f>SUM(R28,R17)</f>
        <v>14490602.976823479</v>
      </c>
      <c r="S43" s="33">
        <f>SUM(S28,S17)</f>
        <v>14981611.325523898</v>
      </c>
      <c r="T43" s="33">
        <f>SUM(T28,T17)</f>
        <v>15489792.422726601</v>
      </c>
      <c r="U43" s="33">
        <f>SUM(U28,U17)</f>
        <v>16015737.168325916</v>
      </c>
      <c r="V43" s="33">
        <f>SUM(V28,V17)</f>
        <v>16560056.53645368</v>
      </c>
      <c r="W43" s="33">
        <f>SUM(W28,W17)</f>
        <v>17123382.250470683</v>
      </c>
      <c r="X43" s="33">
        <f>SUM(X28,X17)</f>
        <v>17706367.480463803</v>
      </c>
      <c r="Y43" s="33">
        <f>SUM(Y28,Y17)</f>
        <v>18309687.563993573</v>
      </c>
      <c r="Z43" s="33">
        <f>SUM(Z28,Z17)</f>
        <v>18934040.75086184</v>
      </c>
      <c r="AA43" s="33">
        <f>SUM(AA28,AA17)</f>
        <v>19580148.97269453</v>
      </c>
    </row>
    <row r="44" spans="1:27" ht="12.75">
      <c r="A44" s="35">
        <v>23</v>
      </c>
      <c r="B44" s="36" t="s">
        <v>52</v>
      </c>
      <c r="C44" s="37">
        <f>SUM(C22,C24)</f>
        <v>4216859</v>
      </c>
      <c r="D44" s="37">
        <f>SUM(D22,D24)</f>
        <v>5932009</v>
      </c>
      <c r="E44" s="37">
        <f>SUM(E22,E24)</f>
        <v>6476116.28</v>
      </c>
      <c r="F44" s="37">
        <f>SUM(F22,F24)</f>
        <v>6701134</v>
      </c>
      <c r="G44" s="37">
        <f>SUM(G22,G24)</f>
        <v>7281140.890000001</v>
      </c>
      <c r="H44" s="37">
        <f>SUM(H22,H24)</f>
        <v>5854825.4345</v>
      </c>
      <c r="I44" s="37">
        <f>SUM(I22,I24)</f>
        <v>5854826.2345</v>
      </c>
      <c r="J44" s="37">
        <f>SUM(J22,J24)</f>
        <v>3452962.2345</v>
      </c>
      <c r="K44" s="37">
        <f>SUM(K22,K24)</f>
        <v>3452962.2345</v>
      </c>
      <c r="L44" s="37">
        <f>SUM(L22,L24)</f>
        <v>3452962.2345</v>
      </c>
      <c r="M44" s="37">
        <f>SUM(M22,M24)</f>
        <v>3452962.2345</v>
      </c>
      <c r="N44" s="37">
        <f>SUM(N22,N24)</f>
        <v>3452971.2345</v>
      </c>
      <c r="O44" s="37">
        <f>SUM(O22,O24)</f>
        <v>2438018.1245</v>
      </c>
      <c r="P44" s="37">
        <f>SUM(P22,P24)</f>
        <v>890539.3945</v>
      </c>
      <c r="Q44" s="37">
        <f>SUM(Q22,Q24)</f>
        <v>890539.3945</v>
      </c>
      <c r="R44" s="37">
        <f>SUM(R22,R24)</f>
        <v>890539.3945</v>
      </c>
      <c r="S44" s="37">
        <f>SUM(S22,S24)</f>
        <v>890539.3945</v>
      </c>
      <c r="T44" s="37">
        <f>SUM(T22,T24)</f>
        <v>890539.3945</v>
      </c>
      <c r="U44" s="37">
        <f>SUM(U22,U24)</f>
        <v>890539.3945</v>
      </c>
      <c r="V44" s="37">
        <f>SUM(V22,V24)</f>
        <v>890539.3945</v>
      </c>
      <c r="W44" s="37">
        <f>SUM(W22,W24)</f>
        <v>890539.3945</v>
      </c>
      <c r="X44" s="37">
        <f>SUM(X22,X24)</f>
        <v>890539.3945</v>
      </c>
      <c r="Y44" s="37">
        <f>SUM(Y22,Y24)</f>
        <v>890539.3945</v>
      </c>
      <c r="Z44" s="37">
        <f>SUM(Z22,Z24)</f>
        <v>890551.3945</v>
      </c>
      <c r="AA44" s="37">
        <f>SUM(AA22,AA24)</f>
        <v>418691.39450000005</v>
      </c>
    </row>
    <row r="45" spans="2:6" ht="12.75">
      <c r="B45" t="s">
        <v>53</v>
      </c>
      <c r="F45" s="5"/>
    </row>
    <row r="46" spans="6:26" ht="12.75">
      <c r="F46" s="5"/>
      <c r="X46" s="38"/>
      <c r="Y46" s="38"/>
      <c r="Z46" s="38"/>
    </row>
    <row r="47" spans="6:26" ht="12.75">
      <c r="F47" s="5"/>
      <c r="X47" s="38"/>
      <c r="Y47" s="38"/>
      <c r="Z47" s="38"/>
    </row>
    <row r="48" spans="1:27" ht="12.75">
      <c r="A48" s="39"/>
      <c r="B48" s="39"/>
      <c r="C48" s="39"/>
      <c r="D48" s="39"/>
      <c r="E48" s="39"/>
      <c r="F48" s="39">
        <v>2011</v>
      </c>
      <c r="G48" s="39">
        <v>2012</v>
      </c>
      <c r="H48" s="39">
        <v>2013</v>
      </c>
      <c r="I48" s="39">
        <v>2014</v>
      </c>
      <c r="J48" s="39">
        <v>2015</v>
      </c>
      <c r="K48" s="39">
        <v>2016</v>
      </c>
      <c r="L48" s="39">
        <v>2017</v>
      </c>
      <c r="M48" s="39">
        <v>2018</v>
      </c>
      <c r="N48" s="39">
        <v>2019</v>
      </c>
      <c r="O48" s="39">
        <v>2020</v>
      </c>
      <c r="P48" s="39">
        <v>2021</v>
      </c>
      <c r="Q48" s="39">
        <v>2022</v>
      </c>
      <c r="R48" s="39">
        <v>2023</v>
      </c>
      <c r="S48" s="39">
        <v>2024</v>
      </c>
      <c r="T48" s="39">
        <v>2025</v>
      </c>
      <c r="U48" s="39">
        <v>2026</v>
      </c>
      <c r="V48" s="39">
        <v>2027</v>
      </c>
      <c r="W48" s="39">
        <v>2028</v>
      </c>
      <c r="X48" s="39">
        <v>2029</v>
      </c>
      <c r="Y48" s="39">
        <v>2030</v>
      </c>
      <c r="Z48" s="39">
        <v>2031</v>
      </c>
      <c r="AA48" s="39">
        <v>2032</v>
      </c>
    </row>
    <row r="49" spans="1:27" ht="12.75">
      <c r="A49" s="39"/>
      <c r="B49" s="39"/>
      <c r="C49" s="39"/>
      <c r="D49" s="39"/>
      <c r="E49" s="39"/>
      <c r="F49" s="40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</row>
    <row r="50" spans="1:27" ht="12.75">
      <c r="A50" s="40"/>
      <c r="B50" s="41" t="s">
        <v>54</v>
      </c>
      <c r="C50" s="42">
        <f>zał2!B10</f>
        <v>46152445</v>
      </c>
      <c r="D50" s="42">
        <f>zał2!C10</f>
        <v>51664524</v>
      </c>
      <c r="E50" s="42">
        <f>zał2!D10</f>
        <v>54479628.2</v>
      </c>
      <c r="F50" s="42">
        <f>zał2!E10</f>
        <v>54856635.79</v>
      </c>
      <c r="G50" s="42">
        <f>zał2!F10</f>
        <v>60342254.61</v>
      </c>
      <c r="H50" s="42">
        <f>zał2!G10</f>
        <v>51033300</v>
      </c>
      <c r="I50" s="42">
        <f>zał2!H10</f>
        <v>52564299</v>
      </c>
      <c r="J50" s="42">
        <f>zał2!I10</f>
        <v>54141227.97</v>
      </c>
      <c r="K50" s="42">
        <f>zał2!J10</f>
        <v>55765464.8091</v>
      </c>
      <c r="L50" s="42">
        <f>zał2!K10</f>
        <v>57438428.753373004</v>
      </c>
      <c r="M50" s="42">
        <f>zał2!L10</f>
        <v>59161581.615974195</v>
      </c>
      <c r="N50" s="42">
        <f>zał2!M10</f>
        <v>60936429.06445342</v>
      </c>
      <c r="O50" s="42">
        <f>zał2!N10</f>
        <v>62764521.936387025</v>
      </c>
      <c r="P50" s="42">
        <f>zał2!O10</f>
        <v>64647457.59447864</v>
      </c>
      <c r="Q50" s="42">
        <f>zał2!P10</f>
        <v>66586881.322312996</v>
      </c>
      <c r="R50" s="42">
        <f>zał2!Q10</f>
        <v>68584487.76198238</v>
      </c>
      <c r="S50" s="42">
        <f>zał2!R10</f>
        <v>70642022.39484185</v>
      </c>
      <c r="T50" s="42">
        <f>zał2!S10</f>
        <v>72761283.0666871</v>
      </c>
      <c r="U50" s="42">
        <f>zał2!T10</f>
        <v>74944121.55868772</v>
      </c>
      <c r="V50" s="42">
        <f>zał2!U10</f>
        <v>77192445.20544834</v>
      </c>
      <c r="W50" s="42">
        <f>zał2!V10</f>
        <v>79508218.5616118</v>
      </c>
      <c r="X50" s="42">
        <f>zał2!W10</f>
        <v>81893465.11846015</v>
      </c>
      <c r="Y50" s="42">
        <f>zał2!X10</f>
        <v>84350269.07201396</v>
      </c>
      <c r="Z50" s="42">
        <f>zał2!Y10</f>
        <v>86880777.14417438</v>
      </c>
      <c r="AA50" s="42">
        <f>zał2!Z10</f>
        <v>89487200.45849961</v>
      </c>
    </row>
    <row r="51" spans="1:27" ht="12.75">
      <c r="A51" s="40"/>
      <c r="B51" s="41" t="s">
        <v>55</v>
      </c>
      <c r="C51" s="42"/>
      <c r="D51" s="42"/>
      <c r="E51" s="42"/>
      <c r="F51" s="42">
        <f>zał2!E37</f>
        <v>1650727.24</v>
      </c>
      <c r="G51" s="42">
        <f>zał2!F37</f>
        <v>2200000</v>
      </c>
      <c r="H51" s="42">
        <f>zał2!G37</f>
        <v>2146338.07593</v>
      </c>
      <c r="I51" s="42">
        <f>zał2!H37</f>
        <v>1795048.5018600002</v>
      </c>
      <c r="J51" s="42">
        <f>zał2!I37</f>
        <v>1587870.7677900002</v>
      </c>
      <c r="K51" s="42">
        <f>zał2!J37</f>
        <v>1380693.0337200004</v>
      </c>
      <c r="L51" s="42">
        <f>zał2!K37</f>
        <v>1173515.2996500004</v>
      </c>
      <c r="M51" s="42">
        <f>zał2!L37</f>
        <v>966337.5655800004</v>
      </c>
      <c r="N51" s="42">
        <f>zał2!M37</f>
        <v>759159.2915100005</v>
      </c>
      <c r="O51" s="42">
        <f>zał2!N37</f>
        <v>612878.2040400004</v>
      </c>
      <c r="P51" s="42">
        <f>zał2!O37</f>
        <v>559445.8403700005</v>
      </c>
      <c r="Q51" s="42">
        <f>zał2!P37</f>
        <v>506013.47670000046</v>
      </c>
      <c r="R51" s="42">
        <f>zał2!Q37</f>
        <v>452581.1130300004</v>
      </c>
      <c r="S51" s="42">
        <f>zał2!R37</f>
        <v>399148.7493600004</v>
      </c>
      <c r="T51" s="42">
        <f>zał2!S37</f>
        <v>345716.3856900004</v>
      </c>
      <c r="U51" s="42">
        <f>zał2!T37</f>
        <v>292284.0220200004</v>
      </c>
      <c r="V51" s="42">
        <f>zał2!U37</f>
        <v>238851.65835000036</v>
      </c>
      <c r="W51" s="42">
        <f>zał2!V37</f>
        <v>185419.29468000037</v>
      </c>
      <c r="X51" s="42">
        <f>zał2!W37</f>
        <v>131986.93101000038</v>
      </c>
      <c r="Y51" s="42">
        <f>zał2!X37</f>
        <v>78554.56734000039</v>
      </c>
      <c r="Z51" s="42">
        <f>zał2!Y37</f>
        <v>25121.48367000038</v>
      </c>
      <c r="AA51" s="42">
        <f>zał2!Z37</f>
        <v>0</v>
      </c>
    </row>
    <row r="52" spans="1:27" ht="12.75">
      <c r="A52" s="40"/>
      <c r="B52" s="41" t="s">
        <v>56</v>
      </c>
      <c r="C52" s="42"/>
      <c r="D52" s="42"/>
      <c r="E52" s="42"/>
      <c r="F52" s="43">
        <v>300000</v>
      </c>
      <c r="G52" s="43">
        <v>200000</v>
      </c>
      <c r="H52" s="42">
        <f>zał2!G15*0.03</f>
        <v>0</v>
      </c>
      <c r="I52" s="42">
        <f>zał2!H15*0.03</f>
        <v>0</v>
      </c>
      <c r="J52" s="42">
        <f>zał2!I15*0.03</f>
        <v>0</v>
      </c>
      <c r="K52" s="42">
        <f>zał2!J15*0.03</f>
        <v>0</v>
      </c>
      <c r="L52" s="42">
        <f>zał2!K15*0.03</f>
        <v>0</v>
      </c>
      <c r="M52" s="42">
        <f>zał2!L15*0.03</f>
        <v>0</v>
      </c>
      <c r="N52" s="42">
        <f>zał2!M15*0.03</f>
        <v>0</v>
      </c>
      <c r="O52" s="42">
        <f>zał2!N15*0.03</f>
        <v>0</v>
      </c>
      <c r="P52" s="42">
        <f>zał2!O15*0.03</f>
        <v>0</v>
      </c>
      <c r="Q52" s="42">
        <f>zał2!P15*0.03</f>
        <v>0</v>
      </c>
      <c r="R52" s="42">
        <f>zał2!Q15*0.03</f>
        <v>0</v>
      </c>
      <c r="S52" s="42">
        <f>zał2!R15*0.03</f>
        <v>0</v>
      </c>
      <c r="T52" s="42">
        <f>zał2!S15*0.03</f>
        <v>0</v>
      </c>
      <c r="U52" s="42">
        <f>zał2!T15*0.03</f>
        <v>0</v>
      </c>
      <c r="V52" s="42">
        <f>zał2!U15*0.03</f>
        <v>0</v>
      </c>
      <c r="W52" s="42">
        <f>zał2!V15*0.03</f>
        <v>0</v>
      </c>
      <c r="X52" s="42">
        <f>zał2!W15*0.03</f>
        <v>0</v>
      </c>
      <c r="Y52" s="42">
        <f>zał2!X15*0.03</f>
        <v>0</v>
      </c>
      <c r="Z52" s="42">
        <f>zał2!Y15*0.03</f>
        <v>0</v>
      </c>
      <c r="AA52" s="42">
        <f>zał2!Z15*0.03</f>
        <v>0</v>
      </c>
    </row>
    <row r="53" spans="1:27" ht="12.75">
      <c r="A53" s="40"/>
      <c r="B53" s="41" t="s">
        <v>57</v>
      </c>
      <c r="C53" s="43">
        <v>789474</v>
      </c>
      <c r="D53" s="43">
        <v>1074774</v>
      </c>
      <c r="E53" s="42">
        <f>zał2!D37</f>
        <v>1251424.59</v>
      </c>
      <c r="F53" s="42">
        <f>SUM(F51:F52)</f>
        <v>1950727.24</v>
      </c>
      <c r="G53" s="42">
        <f>SUM(G51:G52)</f>
        <v>2400000</v>
      </c>
      <c r="H53" s="42">
        <f>SUM(H51:H52)</f>
        <v>2146338.07593</v>
      </c>
      <c r="I53" s="42">
        <f>SUM(I51:I52)</f>
        <v>1795048.5018600002</v>
      </c>
      <c r="J53" s="42">
        <f>SUM(J51:J52)</f>
        <v>1587870.7677900002</v>
      </c>
      <c r="K53" s="42">
        <f>SUM(K51:K52)</f>
        <v>1380693.0337200004</v>
      </c>
      <c r="L53" s="42">
        <f>SUM(L51:L52)</f>
        <v>1173515.2996500004</v>
      </c>
      <c r="M53" s="42">
        <f>SUM(M51:M52)</f>
        <v>966337.5655800004</v>
      </c>
      <c r="N53" s="42">
        <f>SUM(N51:N52)</f>
        <v>759159.2915100005</v>
      </c>
      <c r="O53" s="42">
        <f>SUM(O51:O52)</f>
        <v>612878.2040400004</v>
      </c>
      <c r="P53" s="42">
        <f>SUM(P51:P52)</f>
        <v>559445.8403700005</v>
      </c>
      <c r="Q53" s="42">
        <f>SUM(Q51:Q52)</f>
        <v>506013.47670000046</v>
      </c>
      <c r="R53" s="42">
        <f>SUM(R51:R52)</f>
        <v>452581.1130300004</v>
      </c>
      <c r="S53" s="42">
        <f>SUM(S51:S52)</f>
        <v>399148.7493600004</v>
      </c>
      <c r="T53" s="42">
        <f>SUM(T51:T52)</f>
        <v>345716.3856900004</v>
      </c>
      <c r="U53" s="42">
        <f>SUM(U51:U52)</f>
        <v>292284.0220200004</v>
      </c>
      <c r="V53" s="42">
        <f>SUM(V51:V52)</f>
        <v>238851.65835000036</v>
      </c>
      <c r="W53" s="42">
        <f>SUM(W51:W52)</f>
        <v>185419.29468000037</v>
      </c>
      <c r="X53" s="42">
        <f>SUM(X51:X52)</f>
        <v>131986.93101000038</v>
      </c>
      <c r="Y53" s="42">
        <f>SUM(Y51:Y52)</f>
        <v>78554.56734000039</v>
      </c>
      <c r="Z53" s="42">
        <f>SUM(Z51:Z52)</f>
        <v>25121.48367000038</v>
      </c>
      <c r="AA53" s="42">
        <f>SUM(AA51:AA52)</f>
        <v>0</v>
      </c>
    </row>
    <row r="54" spans="1:27" ht="12.75">
      <c r="A54" s="40"/>
      <c r="B54" s="41" t="s">
        <v>58</v>
      </c>
      <c r="C54" s="44">
        <f>SUM(C50-C53)</f>
        <v>45362971</v>
      </c>
      <c r="D54" s="44">
        <f>SUM(D50-D53)</f>
        <v>50589750</v>
      </c>
      <c r="E54" s="44">
        <f>SUM(E50-E53)</f>
        <v>53228203.61</v>
      </c>
      <c r="F54" s="44">
        <f>SUM(F50-F53)</f>
        <v>52905908.55</v>
      </c>
      <c r="G54" s="44">
        <f>SUM(G50-G53)</f>
        <v>57942254.61</v>
      </c>
      <c r="H54" s="44">
        <f>SUM(H50-H53)</f>
        <v>48886961.92407</v>
      </c>
      <c r="I54" s="44">
        <f>SUM(I50-I53)</f>
        <v>50769250.49814</v>
      </c>
      <c r="J54" s="44">
        <f>SUM(J50-J53)</f>
        <v>52553357.20221</v>
      </c>
      <c r="K54" s="44">
        <f>SUM(K50-K53)</f>
        <v>54384771.77538</v>
      </c>
      <c r="L54" s="44">
        <f>SUM(L50-L53)</f>
        <v>56264913.453723006</v>
      </c>
      <c r="M54" s="44">
        <f>SUM(M50-M53)</f>
        <v>58195244.05039419</v>
      </c>
      <c r="N54" s="44">
        <f>SUM(N50-N53)</f>
        <v>60177269.77294342</v>
      </c>
      <c r="O54" s="44">
        <f>SUM(O50-O53)</f>
        <v>62151643.73234703</v>
      </c>
      <c r="P54" s="44">
        <f>SUM(P50-P53)</f>
        <v>64088011.75410864</v>
      </c>
      <c r="Q54" s="44">
        <f>SUM(Q50-Q53)</f>
        <v>66080867.845612995</v>
      </c>
      <c r="R54" s="44">
        <f>SUM(R50-R53)</f>
        <v>68131906.64895238</v>
      </c>
      <c r="S54" s="44">
        <f>SUM(S50-S53)</f>
        <v>70242873.64548185</v>
      </c>
      <c r="T54" s="44">
        <f>SUM(T50-T53)</f>
        <v>72415566.6809971</v>
      </c>
      <c r="U54" s="44">
        <f>SUM(U50-U53)</f>
        <v>74651837.53666772</v>
      </c>
      <c r="V54" s="44">
        <f>SUM(V50-V53)</f>
        <v>76953593.54709834</v>
      </c>
      <c r="W54" s="44">
        <f>SUM(W50-W53)</f>
        <v>79322799.2669318</v>
      </c>
      <c r="X54" s="44">
        <f>SUM(X50-X53)</f>
        <v>81761478.18745016</v>
      </c>
      <c r="Y54" s="44">
        <f>SUM(Y50-Y53)</f>
        <v>84271714.50467396</v>
      </c>
      <c r="Z54" s="44">
        <f>SUM(Z50-Z53)</f>
        <v>86855655.66050439</v>
      </c>
      <c r="AA54" s="44">
        <f>SUM(AA50-AA53)</f>
        <v>89487200.45849961</v>
      </c>
    </row>
    <row r="55" spans="1:27" ht="12.75">
      <c r="A55" s="39"/>
      <c r="B55" s="39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</row>
    <row r="56" spans="1:27" ht="12.75">
      <c r="A56" s="39"/>
      <c r="B56" s="39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</row>
    <row r="57" spans="1:27" ht="12.75">
      <c r="A57" s="39"/>
      <c r="B57" s="45" t="s">
        <v>59</v>
      </c>
      <c r="C57" s="44"/>
      <c r="D57" s="44"/>
      <c r="E57" s="46">
        <v>0</v>
      </c>
      <c r="F57" s="43">
        <v>0</v>
      </c>
      <c r="G57" s="47">
        <v>0</v>
      </c>
      <c r="H57" s="42">
        <f>zał2!G12</f>
        <v>12055236.270909995</v>
      </c>
      <c r="I57" s="42">
        <f>zał2!H12</f>
        <v>10293157.728308216</v>
      </c>
      <c r="J57" s="42">
        <f>zał2!I12</f>
        <v>10738669.232885778</v>
      </c>
      <c r="K57" s="42">
        <f>zał2!J12</f>
        <v>11124459.302555233</v>
      </c>
      <c r="L57" s="42">
        <f>zał2!K12</f>
        <v>11523795.604087941</v>
      </c>
      <c r="M57" s="42">
        <f>zał2!L12</f>
        <v>11937145.67286279</v>
      </c>
      <c r="N57" s="42">
        <f>zał2!M12</f>
        <v>12364992.965921082</v>
      </c>
      <c r="O57" s="42">
        <f>zał2!N12</f>
        <v>12807837.39838016</v>
      </c>
      <c r="P57" s="42">
        <f>zał2!O12</f>
        <v>13266195.897760957</v>
      </c>
      <c r="Q57" s="42">
        <f>zał2!P12</f>
        <v>13740602.976823479</v>
      </c>
      <c r="R57" s="42">
        <f>zał2!Q12</f>
        <v>14231611.325523898</v>
      </c>
      <c r="S57" s="42">
        <f>zał2!R12</f>
        <v>14739792.422726601</v>
      </c>
      <c r="T57" s="42">
        <f>zał2!S12</f>
        <v>15265737.168325916</v>
      </c>
      <c r="U57" s="42">
        <f>zał2!T12</f>
        <v>15810056.53645368</v>
      </c>
      <c r="V57" s="42">
        <f>zał2!U12</f>
        <v>16373382.250470683</v>
      </c>
      <c r="W57" s="42">
        <f>zał2!V12</f>
        <v>16956367.480463803</v>
      </c>
      <c r="X57" s="42">
        <f>zał2!W12</f>
        <v>17559687.563993573</v>
      </c>
      <c r="Y57" s="42">
        <f>zał2!X12</f>
        <v>18184040.75086184</v>
      </c>
      <c r="Z57" s="42">
        <f>zał2!Y12</f>
        <v>18830148.97269453</v>
      </c>
      <c r="AA57" s="42">
        <f>zał2!Z12</f>
        <v>19498758.638160735</v>
      </c>
    </row>
    <row r="58" spans="1:27" ht="12.75">
      <c r="A58" s="39"/>
      <c r="B58" s="45" t="s">
        <v>60</v>
      </c>
      <c r="C58" s="42"/>
      <c r="D58" s="42"/>
      <c r="E58" s="46"/>
      <c r="F58" s="48">
        <f>zał2!E22</f>
        <v>5983046.68</v>
      </c>
      <c r="G58" s="48">
        <f>zał2!F22</f>
        <v>711078</v>
      </c>
      <c r="H58" s="48">
        <f>zał2!G22</f>
        <v>750000</v>
      </c>
      <c r="I58" s="48">
        <f>zał2!H22</f>
        <v>750000</v>
      </c>
      <c r="J58" s="48">
        <f>zał2!I22</f>
        <v>750000</v>
      </c>
      <c r="K58" s="48">
        <f>zał2!J22</f>
        <v>750000</v>
      </c>
      <c r="L58" s="48">
        <f>zał2!K22</f>
        <v>750000</v>
      </c>
      <c r="M58" s="48">
        <f>zał2!L22</f>
        <v>750000</v>
      </c>
      <c r="N58" s="48">
        <f>zał2!M22</f>
        <v>750000</v>
      </c>
      <c r="O58" s="48">
        <f>zał2!N22</f>
        <v>750000</v>
      </c>
      <c r="P58" s="48">
        <f>zał2!O22</f>
        <v>750000</v>
      </c>
      <c r="Q58" s="48">
        <f>zał2!P22</f>
        <v>750000</v>
      </c>
      <c r="R58" s="48">
        <f>zał2!Q22</f>
        <v>750000</v>
      </c>
      <c r="S58" s="48">
        <f>zał2!R22</f>
        <v>750000</v>
      </c>
      <c r="T58" s="48">
        <f>zał2!S22</f>
        <v>750000</v>
      </c>
      <c r="U58" s="48">
        <f>zał2!T22</f>
        <v>750000</v>
      </c>
      <c r="V58" s="48">
        <f>zał2!U22</f>
        <v>750000</v>
      </c>
      <c r="W58" s="48">
        <f>zał2!V22</f>
        <v>750000</v>
      </c>
      <c r="X58" s="48">
        <f>zał2!W22</f>
        <v>750000</v>
      </c>
      <c r="Y58" s="48">
        <f>zał2!X22</f>
        <v>750000</v>
      </c>
      <c r="Z58" s="48">
        <f>zał2!Y22</f>
        <v>750000</v>
      </c>
      <c r="AA58" s="48">
        <f>zał2!Z22</f>
        <v>750000</v>
      </c>
    </row>
    <row r="59" spans="1:27" ht="24.75">
      <c r="A59" s="39"/>
      <c r="B59" s="49" t="s">
        <v>23</v>
      </c>
      <c r="C59" s="50"/>
      <c r="D59" s="50"/>
      <c r="E59" s="50"/>
      <c r="F59" s="44">
        <f>SUM(E57+F58)</f>
        <v>5983046.68</v>
      </c>
      <c r="G59" s="44">
        <f>SUM(F57+G58)</f>
        <v>711078</v>
      </c>
      <c r="H59" s="44">
        <f>SUM(G57+H58)</f>
        <v>750000</v>
      </c>
      <c r="I59" s="44">
        <f>SUM(H57+I58)</f>
        <v>12805236.270909995</v>
      </c>
      <c r="J59" s="44">
        <f>SUM(I57+J58)</f>
        <v>11043157.728308216</v>
      </c>
      <c r="K59" s="44">
        <f>SUM(J57+K58)</f>
        <v>11488669.232885778</v>
      </c>
      <c r="L59" s="44">
        <f>SUM(K57+L58)</f>
        <v>11874459.302555233</v>
      </c>
      <c r="M59" s="44">
        <f>SUM(L57+M58)</f>
        <v>12273795.604087941</v>
      </c>
      <c r="N59" s="44">
        <f>SUM(M57+N58)</f>
        <v>12687145.67286279</v>
      </c>
      <c r="O59" s="44">
        <f>SUM(N57+O58)</f>
        <v>13114992.965921082</v>
      </c>
      <c r="P59" s="44">
        <f>SUM(O57+P58)</f>
        <v>13557837.39838016</v>
      </c>
      <c r="Q59" s="44">
        <f>SUM(P57+Q58)</f>
        <v>14016195.897760957</v>
      </c>
      <c r="R59" s="44">
        <f>SUM(Q57+R58)</f>
        <v>14490602.976823479</v>
      </c>
      <c r="S59" s="44">
        <f>SUM(R57+S58)</f>
        <v>14981611.325523898</v>
      </c>
      <c r="T59" s="44">
        <f>SUM(S57+T58)</f>
        <v>15489792.422726601</v>
      </c>
      <c r="U59" s="44">
        <f>SUM(T57+U58)</f>
        <v>16015737.168325916</v>
      </c>
      <c r="V59" s="44">
        <f>SUM(U57+V58)</f>
        <v>16560056.53645368</v>
      </c>
      <c r="W59" s="44">
        <f>SUM(V57+W58)</f>
        <v>17123382.250470683</v>
      </c>
      <c r="X59" s="44">
        <f>SUM(W57+X58)</f>
        <v>17706367.480463803</v>
      </c>
      <c r="Y59" s="44">
        <f>SUM(X57+Y58)</f>
        <v>18309687.563993573</v>
      </c>
      <c r="Z59" s="44">
        <f>SUM(Y57+Z58)</f>
        <v>18934040.75086184</v>
      </c>
      <c r="AA59" s="44">
        <f>SUM(Z57+AA58)</f>
        <v>19580148.97269453</v>
      </c>
    </row>
    <row r="60" spans="1:27" ht="12.75">
      <c r="A60" s="39"/>
      <c r="B60" s="39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</row>
    <row r="61" spans="1:27" ht="12.75">
      <c r="A61" s="39"/>
      <c r="B61" s="39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</row>
    <row r="62" spans="1:27" ht="12.75">
      <c r="A62" s="39"/>
      <c r="B62" s="39"/>
      <c r="C62" s="39"/>
      <c r="D62" s="39"/>
      <c r="E62" s="39"/>
      <c r="F62" s="40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</row>
    <row r="63" ht="12.75">
      <c r="F63" s="5"/>
    </row>
    <row r="64" ht="12.75">
      <c r="F64" s="5"/>
    </row>
  </sheetData>
  <sheetProtection selectLockedCells="1" selectUnlockedCells="1"/>
  <mergeCells count="8">
    <mergeCell ref="B1:M1"/>
    <mergeCell ref="Z1:AA1"/>
    <mergeCell ref="Z2:AA2"/>
    <mergeCell ref="A3:A4"/>
    <mergeCell ref="B3:B4"/>
    <mergeCell ref="C3:AA3"/>
    <mergeCell ref="X46:Z46"/>
    <mergeCell ref="X47:Z47"/>
  </mergeCells>
  <printOptions/>
  <pageMargins left="0.39375" right="0.2361111111111111" top="0.2361111111111111" bottom="0.2361111111111111" header="0.5118055555555555" footer="0.5118055555555555"/>
  <pageSetup horizontalDpi="300" verticalDpi="300" orientation="landscape" paperSize="8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3"/>
  <sheetViews>
    <sheetView workbookViewId="0" topLeftCell="A34">
      <selection activeCell="G35" sqref="G35"/>
    </sheetView>
  </sheetViews>
  <sheetFormatPr defaultColWidth="12.57421875" defaultRowHeight="12.75"/>
  <cols>
    <col min="1" max="1" width="41.421875" style="0" customWidth="1"/>
    <col min="2" max="2" width="15.57421875" style="0" customWidth="1"/>
    <col min="3" max="3" width="16.00390625" style="0" customWidth="1"/>
    <col min="4" max="4" width="14.28125" style="0" customWidth="1"/>
    <col min="5" max="5" width="16.00390625" style="0" customWidth="1"/>
    <col min="6" max="6" width="15.00390625" style="0" customWidth="1"/>
    <col min="7" max="13" width="14.28125" style="0" customWidth="1"/>
    <col min="14" max="14" width="15.8515625" style="0" customWidth="1"/>
    <col min="15" max="15" width="14.28125" style="0" customWidth="1"/>
    <col min="16" max="22" width="14.57421875" style="0" customWidth="1"/>
    <col min="23" max="24" width="15.7109375" style="0" customWidth="1"/>
    <col min="25" max="25" width="16.421875" style="0" customWidth="1"/>
    <col min="26" max="26" width="14.7109375" style="0" customWidth="1"/>
    <col min="27" max="27" width="18.28125" style="0" customWidth="1"/>
    <col min="28" max="28" width="18.421875" style="0" customWidth="1"/>
    <col min="29" max="16384" width="11.57421875" style="0" customWidth="1"/>
  </cols>
  <sheetData>
    <row r="1" spans="1:26" ht="13.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2" t="s">
        <v>61</v>
      </c>
      <c r="Z1" s="52"/>
    </row>
    <row r="2" spans="1:26" ht="39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2" t="str">
        <f>zał3!J2</f>
        <v>Do Uchwały Nr XXIII/138/2012
Radu Miejskiej w Gołdapi
z dnia 25 czerwca 2012r.</v>
      </c>
      <c r="Z2" s="52"/>
    </row>
    <row r="3" spans="1:27" ht="21" customHeight="1">
      <c r="A3" s="53" t="s">
        <v>62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 t="s">
        <v>63</v>
      </c>
      <c r="Z3" s="53"/>
      <c r="AA3" t="s">
        <v>64</v>
      </c>
    </row>
    <row r="4" spans="1:26" ht="24.75">
      <c r="A4" s="54"/>
      <c r="B4" s="55" t="s">
        <v>65</v>
      </c>
      <c r="C4" s="55" t="s">
        <v>66</v>
      </c>
      <c r="D4" s="55" t="s">
        <v>67</v>
      </c>
      <c r="E4" s="55" t="s">
        <v>68</v>
      </c>
      <c r="F4" s="56" t="s">
        <v>69</v>
      </c>
      <c r="G4" s="55" t="s">
        <v>70</v>
      </c>
      <c r="H4" s="55" t="s">
        <v>71</v>
      </c>
      <c r="I4" s="55" t="s">
        <v>72</v>
      </c>
      <c r="J4" s="55" t="s">
        <v>73</v>
      </c>
      <c r="K4" s="55" t="s">
        <v>74</v>
      </c>
      <c r="L4" s="55" t="s">
        <v>75</v>
      </c>
      <c r="M4" s="55" t="s">
        <v>76</v>
      </c>
      <c r="N4" s="55" t="s">
        <v>77</v>
      </c>
      <c r="O4" s="55" t="s">
        <v>78</v>
      </c>
      <c r="P4" s="55" t="s">
        <v>79</v>
      </c>
      <c r="Q4" s="55" t="s">
        <v>80</v>
      </c>
      <c r="R4" s="55" t="s">
        <v>81</v>
      </c>
      <c r="S4" s="55" t="s">
        <v>82</v>
      </c>
      <c r="T4" s="55" t="s">
        <v>83</v>
      </c>
      <c r="U4" s="55" t="s">
        <v>84</v>
      </c>
      <c r="V4" s="55" t="s">
        <v>85</v>
      </c>
      <c r="W4" s="55" t="s">
        <v>86</v>
      </c>
      <c r="X4" s="55" t="s">
        <v>87</v>
      </c>
      <c r="Y4" s="55" t="s">
        <v>88</v>
      </c>
      <c r="Z4" s="55" t="s">
        <v>89</v>
      </c>
    </row>
    <row r="5" spans="1:26" ht="24.75" customHeight="1">
      <c r="A5" s="57" t="s">
        <v>90</v>
      </c>
      <c r="B5" s="58">
        <f>B6+B7</f>
        <v>56602913</v>
      </c>
      <c r="C5" s="58">
        <f>C6+C7</f>
        <v>65638462</v>
      </c>
      <c r="D5" s="58">
        <f>D6+D7</f>
        <v>76066696.03</v>
      </c>
      <c r="E5" s="59">
        <v>72674133.27</v>
      </c>
      <c r="F5" s="58">
        <f>F6+F7</f>
        <v>87878493.61</v>
      </c>
      <c r="G5" s="58">
        <f>G6+G7</f>
        <v>68001763.27091</v>
      </c>
      <c r="H5" s="58">
        <f>H6+H7</f>
        <v>65357456.728308216</v>
      </c>
      <c r="I5" s="58">
        <f>I6+I7</f>
        <v>67379897.20288578</v>
      </c>
      <c r="J5" s="58">
        <f>J6+J7</f>
        <v>69464924.11165524</v>
      </c>
      <c r="K5" s="58">
        <f>K6+K7</f>
        <v>71614474.35746095</v>
      </c>
      <c r="L5" s="58">
        <f>L6+L7</f>
        <v>73830544.78883699</v>
      </c>
      <c r="M5" s="58">
        <f>M6+M7</f>
        <v>76115194.0553745</v>
      </c>
      <c r="N5" s="58">
        <f>N6+N7</f>
        <v>78470544.52051719</v>
      </c>
      <c r="O5" s="58">
        <f>O6+O7</f>
        <v>80898784.2335621</v>
      </c>
      <c r="P5" s="58">
        <f>P6+P7</f>
        <v>83402168.96269865</v>
      </c>
      <c r="Q5" s="58">
        <f>Q6+Q7</f>
        <v>85983024.29097532</v>
      </c>
      <c r="R5" s="58">
        <f>R6+R7</f>
        <v>88643747.77714156</v>
      </c>
      <c r="S5" s="58">
        <f>S6+S7</f>
        <v>91386811.18337333</v>
      </c>
      <c r="T5" s="58">
        <f>T6+T7</f>
        <v>94214762.77195251</v>
      </c>
      <c r="U5" s="58">
        <f>U6+U7</f>
        <v>97130229.67303447</v>
      </c>
      <c r="V5" s="58">
        <f>V6+V7</f>
        <v>100135920.32570451</v>
      </c>
      <c r="W5" s="58">
        <f>W6+W7</f>
        <v>103234626.9945915</v>
      </c>
      <c r="X5" s="58">
        <f>X6+X7</f>
        <v>106429228.3643777</v>
      </c>
      <c r="Y5" s="58">
        <f>Y6+Y7</f>
        <v>109722692.21461588</v>
      </c>
      <c r="Z5" s="58">
        <f>Z6+Z7</f>
        <v>113118078.17733972</v>
      </c>
    </row>
    <row r="6" spans="1:26" ht="23.25" customHeight="1">
      <c r="A6" s="60" t="s">
        <v>91</v>
      </c>
      <c r="B6" s="61">
        <v>48236781</v>
      </c>
      <c r="C6" s="61">
        <v>54877794</v>
      </c>
      <c r="D6" s="62">
        <v>59404315.82</v>
      </c>
      <c r="E6" s="61">
        <v>61924678.14</v>
      </c>
      <c r="F6" s="61">
        <f>57504361+18960+31000+3350-537098+153002+474879.61+73968+308810+29950</f>
        <v>58061182.61</v>
      </c>
      <c r="G6" s="63">
        <f>SUM(F6+0.031*F6)</f>
        <v>59861079.27091</v>
      </c>
      <c r="H6" s="63">
        <f>SUM(G6+0.031*G6)</f>
        <v>61716772.728308216</v>
      </c>
      <c r="I6" s="63">
        <f>SUM(H6+0.031*H6)</f>
        <v>63629992.68288577</v>
      </c>
      <c r="J6" s="63">
        <f>SUM(I6+0.031*I6)</f>
        <v>65602522.45605523</v>
      </c>
      <c r="K6" s="63">
        <f>SUM(J6+0.031*J6)</f>
        <v>67636200.65219295</v>
      </c>
      <c r="L6" s="63">
        <f>SUM(K6+0.031*K6)</f>
        <v>69732922.87241094</v>
      </c>
      <c r="M6" s="63">
        <f>SUM(L6+0.031*L6)</f>
        <v>71894643.48145568</v>
      </c>
      <c r="N6" s="63">
        <f>SUM(M6+0.031*M6)</f>
        <v>74123377.4293808</v>
      </c>
      <c r="O6" s="63">
        <f>SUM(N6+0.031*N6)</f>
        <v>76421202.12969162</v>
      </c>
      <c r="P6" s="63">
        <f>SUM(O6+0.031*O6)</f>
        <v>78790259.39571206</v>
      </c>
      <c r="Q6" s="63">
        <f>SUM(P6+0.031*P6)</f>
        <v>81232757.43697913</v>
      </c>
      <c r="R6" s="63">
        <f>SUM(Q6+0.031*Q6)</f>
        <v>83750972.91752549</v>
      </c>
      <c r="S6" s="63">
        <f>SUM(R6+0.031*R6)</f>
        <v>86347253.07796878</v>
      </c>
      <c r="T6" s="63">
        <f>SUM(S6+0.031*S6)</f>
        <v>89024017.92338581</v>
      </c>
      <c r="U6" s="63">
        <f>SUM(T6+0.031*T6)</f>
        <v>91783762.47901078</v>
      </c>
      <c r="V6" s="63">
        <f>SUM(U6+0.031*U6)</f>
        <v>94629059.1158601</v>
      </c>
      <c r="W6" s="63">
        <f>SUM(V6+0.031*V6)</f>
        <v>97562559.94845177</v>
      </c>
      <c r="X6" s="63">
        <f>SUM(W6+0.031*W6)</f>
        <v>100586999.30685377</v>
      </c>
      <c r="Y6" s="63">
        <f>SUM(X6+0.031*X6)</f>
        <v>103705196.28536624</v>
      </c>
      <c r="Z6" s="63">
        <f>SUM(Y6+0.031*Y6)</f>
        <v>106920057.37021258</v>
      </c>
    </row>
    <row r="7" spans="1:26" ht="20.25" customHeight="1">
      <c r="A7" s="60" t="s">
        <v>92</v>
      </c>
      <c r="B7" s="61">
        <v>8366132</v>
      </c>
      <c r="C7" s="61">
        <v>10760668</v>
      </c>
      <c r="D7" s="62">
        <v>16662380.21</v>
      </c>
      <c r="E7" s="61">
        <v>10749455.13</v>
      </c>
      <c r="F7" s="61">
        <f>22611884+20300+8063282-878155</f>
        <v>29817311</v>
      </c>
      <c r="G7" s="61">
        <f>8140684</f>
        <v>8140684</v>
      </c>
      <c r="H7" s="61">
        <v>3640684</v>
      </c>
      <c r="I7" s="63">
        <f>SUM(H7+0.03*H7)</f>
        <v>3749904.52</v>
      </c>
      <c r="J7" s="63">
        <f>SUM(I7+0.03*I7)</f>
        <v>3862401.6556</v>
      </c>
      <c r="K7" s="63">
        <f>SUM(J7+0.03*J7)</f>
        <v>3978273.7052680003</v>
      </c>
      <c r="L7" s="63">
        <f>SUM(K7+0.03*K7)</f>
        <v>4097621.91642604</v>
      </c>
      <c r="M7" s="63">
        <f>SUM(L7+0.03*L7)</f>
        <v>4220550.573918821</v>
      </c>
      <c r="N7" s="63">
        <f>SUM(M7+0.03*M7)</f>
        <v>4347167.091136386</v>
      </c>
      <c r="O7" s="63">
        <f>SUM(N7+0.03*N7)</f>
        <v>4477582.1038704775</v>
      </c>
      <c r="P7" s="63">
        <f>SUM(O7+0.03*O7)</f>
        <v>4611909.566986592</v>
      </c>
      <c r="Q7" s="63">
        <f>SUM(P7+0.03*P7)</f>
        <v>4750266.853996189</v>
      </c>
      <c r="R7" s="63">
        <f>SUM(Q7+0.03*Q7)</f>
        <v>4892774.859616075</v>
      </c>
      <c r="S7" s="63">
        <f>SUM(R7+0.03*R7)</f>
        <v>5039558.105404557</v>
      </c>
      <c r="T7" s="63">
        <f>SUM(S7+0.03*S7)</f>
        <v>5190744.848566693</v>
      </c>
      <c r="U7" s="63">
        <f>SUM(T7+0.03*T7)</f>
        <v>5346467.194023694</v>
      </c>
      <c r="V7" s="63">
        <f>SUM(U7+0.03*U7)</f>
        <v>5506861.209844405</v>
      </c>
      <c r="W7" s="63">
        <f>SUM(V7+0.03*V7)</f>
        <v>5672067.046139737</v>
      </c>
      <c r="X7" s="63">
        <f>SUM(W7+0.03*W7)</f>
        <v>5842229.057523929</v>
      </c>
      <c r="Y7" s="63">
        <f>SUM(X7+0.03*X7)</f>
        <v>6017495.929249646</v>
      </c>
      <c r="Z7" s="63">
        <f>SUM(Y7+0.03*Y7)</f>
        <v>6198020.807127136</v>
      </c>
    </row>
    <row r="8" spans="1:26" ht="20.25" customHeight="1">
      <c r="A8" s="60" t="s">
        <v>93</v>
      </c>
      <c r="B8" s="61">
        <v>2943102</v>
      </c>
      <c r="C8" s="61">
        <v>1702924</v>
      </c>
      <c r="D8" s="64">
        <v>1908591.03</v>
      </c>
      <c r="E8" s="61">
        <v>1643757.32</v>
      </c>
      <c r="F8" s="61">
        <f>4830000+1080000</f>
        <v>5910000</v>
      </c>
      <c r="G8" s="61">
        <f>6000000</f>
        <v>6000000</v>
      </c>
      <c r="H8" s="61">
        <v>1500000</v>
      </c>
      <c r="I8" s="63">
        <f>SUM(H8+0.03*H8)</f>
        <v>1545000</v>
      </c>
      <c r="J8" s="63">
        <f>SUM(I8+0.03*I8)</f>
        <v>1591350</v>
      </c>
      <c r="K8" s="63">
        <f>SUM(J8+0.03*J8)</f>
        <v>1639090.5</v>
      </c>
      <c r="L8" s="63">
        <f>SUM(K8+0.03*K8)</f>
        <v>1688263.215</v>
      </c>
      <c r="M8" s="63">
        <f>SUM(L8+0.03*L8)</f>
        <v>1738911.1114500002</v>
      </c>
      <c r="N8" s="63">
        <f>SUM(M8+0.03*M8)</f>
        <v>1791078.4447935002</v>
      </c>
      <c r="O8" s="63">
        <f>SUM(N8+0.03*N8)</f>
        <v>1844810.7981373053</v>
      </c>
      <c r="P8" s="63">
        <f>SUM(O8+0.03*O8)</f>
        <v>1900155.1220814246</v>
      </c>
      <c r="Q8" s="63">
        <f>SUM(P8+0.03*P8)</f>
        <v>1957159.7757438673</v>
      </c>
      <c r="R8" s="63">
        <f>SUM(Q8+0.03*Q8)</f>
        <v>2015874.5690161833</v>
      </c>
      <c r="S8" s="63">
        <f>SUM(R8+0.03*R8)</f>
        <v>2076350.8060866687</v>
      </c>
      <c r="T8" s="63">
        <f>SUM(S8+0.03*S8)</f>
        <v>2138641.3302692687</v>
      </c>
      <c r="U8" s="63">
        <f>SUM(T8+0.03*T8)</f>
        <v>2202800.570177347</v>
      </c>
      <c r="V8" s="63">
        <f>SUM(U8+0.03*U8)</f>
        <v>2268884.5872826674</v>
      </c>
      <c r="W8" s="63">
        <f>SUM(V8+0.03*V8)</f>
        <v>2336951.1249011476</v>
      </c>
      <c r="X8" s="63">
        <f>SUM(W8+0.03*W8)</f>
        <v>2407059.658648182</v>
      </c>
      <c r="Y8" s="63">
        <f>SUM(X8+0.03*X8)</f>
        <v>2479271.4484076276</v>
      </c>
      <c r="Z8" s="63">
        <f>SUM(Y8+0.03*Y8)</f>
        <v>2553649.5918598566</v>
      </c>
    </row>
    <row r="9" spans="1:26" ht="21.75" customHeight="1">
      <c r="A9" s="57" t="s">
        <v>94</v>
      </c>
      <c r="B9" s="58">
        <f>B10+B11</f>
        <v>64898002</v>
      </c>
      <c r="C9" s="58">
        <f>C10+C11</f>
        <v>71336733</v>
      </c>
      <c r="D9" s="58">
        <f>D10+D11</f>
        <v>82713065.63</v>
      </c>
      <c r="E9" s="58">
        <f>E10+E11</f>
        <v>80446015.95</v>
      </c>
      <c r="F9" s="58">
        <f>F10+F11</f>
        <v>89682258.61</v>
      </c>
      <c r="G9" s="58">
        <f>G10+G11</f>
        <v>55946527</v>
      </c>
      <c r="H9" s="58">
        <f>H10+H11</f>
        <v>55064299</v>
      </c>
      <c r="I9" s="58">
        <f>I10+I11</f>
        <v>56641227.97</v>
      </c>
      <c r="J9" s="58">
        <f>J10+J11</f>
        <v>58340464.8091</v>
      </c>
      <c r="K9" s="58">
        <f>K10+K11</f>
        <v>60090678.753373004</v>
      </c>
      <c r="L9" s="58">
        <f>L10+L11</f>
        <v>61893399.115974195</v>
      </c>
      <c r="M9" s="58">
        <f>M10+M11</f>
        <v>63750201.08945342</v>
      </c>
      <c r="N9" s="58">
        <f>N10+N11</f>
        <v>65662707.122137025</v>
      </c>
      <c r="O9" s="58">
        <f>O10+O11</f>
        <v>67632588.33580114</v>
      </c>
      <c r="P9" s="58">
        <f>P10+P11</f>
        <v>69661565.98587517</v>
      </c>
      <c r="Q9" s="58">
        <f>Q10+Q11</f>
        <v>71751412.96545142</v>
      </c>
      <c r="R9" s="58">
        <f>R10+R11</f>
        <v>73903955.35441495</v>
      </c>
      <c r="S9" s="58">
        <f>S10+S11</f>
        <v>76121074.01504742</v>
      </c>
      <c r="T9" s="58">
        <f>T10+T11</f>
        <v>78404706.23549883</v>
      </c>
      <c r="U9" s="58">
        <f>U10+U11</f>
        <v>80756847.42256379</v>
      </c>
      <c r="V9" s="58">
        <f>V10+V11</f>
        <v>83179552.84524071</v>
      </c>
      <c r="W9" s="58">
        <f>W10+W11</f>
        <v>85674939.43059793</v>
      </c>
      <c r="X9" s="58">
        <f>X10+X11</f>
        <v>88245187.61351587</v>
      </c>
      <c r="Y9" s="58">
        <f>Y10+Y11</f>
        <v>90892543.24192135</v>
      </c>
      <c r="Z9" s="58">
        <f>Z10+Z11</f>
        <v>93619319.53917898</v>
      </c>
    </row>
    <row r="10" spans="1:26" ht="25.5" customHeight="1">
      <c r="A10" s="60" t="s">
        <v>95</v>
      </c>
      <c r="B10" s="61">
        <v>46152445</v>
      </c>
      <c r="C10" s="61">
        <v>51664524</v>
      </c>
      <c r="D10" s="62">
        <v>54479628.2</v>
      </c>
      <c r="E10" s="61">
        <v>54856635.79</v>
      </c>
      <c r="F10" s="61">
        <f>58793501+18960+31000+3350-537098+138902+474879.61+308810+1109950</f>
        <v>60342254.61</v>
      </c>
      <c r="G10" s="61">
        <f>50683300+350000</f>
        <v>51033300</v>
      </c>
      <c r="H10" s="63">
        <f>SUM(G10+0.03*G10)</f>
        <v>52564299</v>
      </c>
      <c r="I10" s="63">
        <f>SUM(H10+0.03*H10)</f>
        <v>54141227.97</v>
      </c>
      <c r="J10" s="63">
        <f>SUM(I10+0.03*I10)</f>
        <v>55765464.8091</v>
      </c>
      <c r="K10" s="63">
        <f>SUM(J10+0.03*J10)</f>
        <v>57438428.753373004</v>
      </c>
      <c r="L10" s="63">
        <f>SUM(K10+0.03*K10)</f>
        <v>59161581.615974195</v>
      </c>
      <c r="M10" s="63">
        <f>SUM(L10+0.03*L10)</f>
        <v>60936429.06445342</v>
      </c>
      <c r="N10" s="63">
        <f>SUM(M10+0.03*M10)</f>
        <v>62764521.936387025</v>
      </c>
      <c r="O10" s="63">
        <f>SUM(N10+0.03*N10)</f>
        <v>64647457.59447864</v>
      </c>
      <c r="P10" s="63">
        <f>SUM(O10+0.03*O10)</f>
        <v>66586881.322312996</v>
      </c>
      <c r="Q10" s="63">
        <f>SUM(P10+0.03*P10)</f>
        <v>68584487.76198238</v>
      </c>
      <c r="R10" s="63">
        <f>SUM(Q10+0.03*Q10)</f>
        <v>70642022.39484185</v>
      </c>
      <c r="S10" s="63">
        <f>SUM(R10+0.03*R10)</f>
        <v>72761283.0666871</v>
      </c>
      <c r="T10" s="63">
        <f>SUM(S10+0.03*S10)</f>
        <v>74944121.55868772</v>
      </c>
      <c r="U10" s="63">
        <f>SUM(T10+0.03*T10)</f>
        <v>77192445.20544834</v>
      </c>
      <c r="V10" s="63">
        <f>SUM(U10+0.03*U10)</f>
        <v>79508218.5616118</v>
      </c>
      <c r="W10" s="63">
        <f>SUM(V10+0.03*V10)</f>
        <v>81893465.11846015</v>
      </c>
      <c r="X10" s="63">
        <f>SUM(W10+0.03*W10)</f>
        <v>84350269.07201396</v>
      </c>
      <c r="Y10" s="63">
        <f>SUM(X10+0.03*X10)</f>
        <v>86880777.14417438</v>
      </c>
      <c r="Z10" s="63">
        <f>SUM(Y10+0.03*Y10)</f>
        <v>89487200.45849961</v>
      </c>
    </row>
    <row r="11" spans="1:26" ht="21" customHeight="1">
      <c r="A11" s="60" t="s">
        <v>96</v>
      </c>
      <c r="B11" s="61">
        <v>18745557</v>
      </c>
      <c r="C11" s="61">
        <v>19672209</v>
      </c>
      <c r="D11" s="62">
        <v>28233437.43</v>
      </c>
      <c r="E11" s="61">
        <v>25589380.16</v>
      </c>
      <c r="F11" s="61">
        <f>24365571+34400+6898188-1958155</f>
        <v>29340004</v>
      </c>
      <c r="G11" s="63">
        <f>zał3!I10+1000000</f>
        <v>4913227</v>
      </c>
      <c r="H11" s="63">
        <f>zał3!J10+1000000</f>
        <v>2500000</v>
      </c>
      <c r="I11" s="63">
        <f>zał3!K10+1000000</f>
        <v>2500000</v>
      </c>
      <c r="J11" s="63">
        <f>SUM(I11+0.03*I11)</f>
        <v>2575000</v>
      </c>
      <c r="K11" s="63">
        <f>SUM(J11+0.03*J11)</f>
        <v>2652250</v>
      </c>
      <c r="L11" s="63">
        <f>SUM(K11+0.03*K11)</f>
        <v>2731817.5</v>
      </c>
      <c r="M11" s="63">
        <f>SUM(L11+0.03*L11)</f>
        <v>2813772.025</v>
      </c>
      <c r="N11" s="63">
        <f>SUM(M11+0.03*M11)</f>
        <v>2898185.1857499997</v>
      </c>
      <c r="O11" s="63">
        <f>SUM(N11+0.03*N11)</f>
        <v>2985130.7413224997</v>
      </c>
      <c r="P11" s="63">
        <f>SUM(O11+0.03*O11)</f>
        <v>3074684.663562175</v>
      </c>
      <c r="Q11" s="63">
        <f>SUM(P11+0.03*P11)</f>
        <v>3166925.2034690403</v>
      </c>
      <c r="R11" s="63">
        <f>SUM(Q11+0.03*Q11)</f>
        <v>3261932.9595731115</v>
      </c>
      <c r="S11" s="63">
        <f>SUM(R11+0.03*R11)</f>
        <v>3359790.948360305</v>
      </c>
      <c r="T11" s="63">
        <f>SUM(S11+0.03*S11)</f>
        <v>3460584.676811114</v>
      </c>
      <c r="U11" s="63">
        <f>SUM(T11+0.03*T11)</f>
        <v>3564402.2171154474</v>
      </c>
      <c r="V11" s="63">
        <f>SUM(U11+0.03*U11)</f>
        <v>3671334.283628911</v>
      </c>
      <c r="W11" s="63">
        <f>SUM(V11+0.03*V11)</f>
        <v>3781474.312137778</v>
      </c>
      <c r="X11" s="63">
        <f>SUM(W11+0.03*W11)</f>
        <v>3894918.5415019114</v>
      </c>
      <c r="Y11" s="63">
        <f>SUM(X11+0.03*X11)</f>
        <v>4011766.0977469687</v>
      </c>
      <c r="Z11" s="63">
        <f>SUM(Y11+0.03*Y11)</f>
        <v>4132119.080679378</v>
      </c>
    </row>
    <row r="12" spans="1:26" ht="21.75" customHeight="1">
      <c r="A12" s="57" t="s">
        <v>97</v>
      </c>
      <c r="B12" s="58">
        <f>B5-B9</f>
        <v>-8295089</v>
      </c>
      <c r="C12" s="58">
        <f>C5-C9</f>
        <v>-5698271</v>
      </c>
      <c r="D12" s="58">
        <f>D5-D9</f>
        <v>-6646369.599999994</v>
      </c>
      <c r="E12" s="58">
        <f>E5-E9</f>
        <v>-7771882.680000007</v>
      </c>
      <c r="F12" s="58">
        <f>F5-F9</f>
        <v>-1803765</v>
      </c>
      <c r="G12" s="58">
        <f>G5-G9</f>
        <v>12055236.270909995</v>
      </c>
      <c r="H12" s="58">
        <f>H5-H9</f>
        <v>10293157.728308216</v>
      </c>
      <c r="I12" s="58">
        <f>I5-I9</f>
        <v>10738669.232885778</v>
      </c>
      <c r="J12" s="58">
        <f>J5-J9</f>
        <v>11124459.302555233</v>
      </c>
      <c r="K12" s="58">
        <f>K5-K9</f>
        <v>11523795.604087941</v>
      </c>
      <c r="L12" s="58">
        <f>L5-L9</f>
        <v>11937145.67286279</v>
      </c>
      <c r="M12" s="58">
        <f>M5-M9</f>
        <v>12364992.965921082</v>
      </c>
      <c r="N12" s="58">
        <f>N5-N9</f>
        <v>12807837.39838016</v>
      </c>
      <c r="O12" s="58">
        <f>O5-O9</f>
        <v>13266195.897760957</v>
      </c>
      <c r="P12" s="58">
        <f>P5-P9</f>
        <v>13740602.976823479</v>
      </c>
      <c r="Q12" s="58">
        <f>Q5-Q9</f>
        <v>14231611.325523898</v>
      </c>
      <c r="R12" s="58">
        <f>R5-R9</f>
        <v>14739792.422726601</v>
      </c>
      <c r="S12" s="58">
        <f>S5-S9</f>
        <v>15265737.168325916</v>
      </c>
      <c r="T12" s="58">
        <f>T5-T9</f>
        <v>15810056.53645368</v>
      </c>
      <c r="U12" s="58">
        <f>U5-U9</f>
        <v>16373382.250470683</v>
      </c>
      <c r="V12" s="58">
        <f>V5-V9</f>
        <v>16956367.480463803</v>
      </c>
      <c r="W12" s="58">
        <f>W5-W9</f>
        <v>17559687.563993573</v>
      </c>
      <c r="X12" s="58">
        <f>X5-X9</f>
        <v>18184040.75086184</v>
      </c>
      <c r="Y12" s="58">
        <f>Y5-Y9</f>
        <v>18830148.97269453</v>
      </c>
      <c r="Z12" s="58">
        <f>Z5-Z9</f>
        <v>19498758.638160735</v>
      </c>
    </row>
    <row r="13" spans="1:26" ht="24" customHeight="1">
      <c r="A13" s="57" t="s">
        <v>98</v>
      </c>
      <c r="B13" s="58">
        <f>B14-B24</f>
        <v>12402721</v>
      </c>
      <c r="C13" s="58">
        <f>C14-C24</f>
        <v>8941150.98</v>
      </c>
      <c r="D13" s="58">
        <f>D14-D24</f>
        <v>12450511.719999999</v>
      </c>
      <c r="E13" s="59">
        <v>8482960.68</v>
      </c>
      <c r="F13" s="58">
        <f>F14-F24</f>
        <v>1803765</v>
      </c>
      <c r="G13" s="58">
        <f>G14-G24</f>
        <v>-5104825.4345</v>
      </c>
      <c r="H13" s="58">
        <f>H14-H24</f>
        <v>-5104826.2345</v>
      </c>
      <c r="I13" s="58">
        <f>I14-I24</f>
        <v>-2702962.2345</v>
      </c>
      <c r="J13" s="58">
        <f>J14-J24</f>
        <v>-2702962.2345</v>
      </c>
      <c r="K13" s="58">
        <f>K14-K24</f>
        <v>-2702962.2345</v>
      </c>
      <c r="L13" s="58">
        <f>L14-L24</f>
        <v>-2702962.2345</v>
      </c>
      <c r="M13" s="58">
        <f>M14-M24</f>
        <v>-2702971.2345</v>
      </c>
      <c r="N13" s="58">
        <f>N14-N24</f>
        <v>-1688018.1245</v>
      </c>
      <c r="O13" s="58">
        <f>O14-O24</f>
        <v>-140539.39450000005</v>
      </c>
      <c r="P13" s="58">
        <f>P14-P24</f>
        <v>-140539.39450000005</v>
      </c>
      <c r="Q13" s="58">
        <f>Q14-Q24</f>
        <v>-140539.39450000005</v>
      </c>
      <c r="R13" s="58">
        <f>R14-R24</f>
        <v>-140539.39450000005</v>
      </c>
      <c r="S13" s="58">
        <f>S14-S24</f>
        <v>-140539.39450000005</v>
      </c>
      <c r="T13" s="58">
        <f>T14-T24</f>
        <v>-140539.39450000005</v>
      </c>
      <c r="U13" s="58">
        <f>U14-U24</f>
        <v>-140539.39450000005</v>
      </c>
      <c r="V13" s="58">
        <f>V14-V24</f>
        <v>-140539.39450000005</v>
      </c>
      <c r="W13" s="58">
        <f>W14-W24</f>
        <v>-140539.39450000005</v>
      </c>
      <c r="X13" s="58">
        <f>X14-X24</f>
        <v>-140539.39450000005</v>
      </c>
      <c r="Y13" s="58">
        <f>Y14-Y24</f>
        <v>-140551.39450000005</v>
      </c>
      <c r="Z13" s="58">
        <f>Z14-Z24</f>
        <v>331308.60549999995</v>
      </c>
    </row>
    <row r="14" spans="1:26" ht="23.25" customHeight="1">
      <c r="A14" s="57" t="s">
        <v>99</v>
      </c>
      <c r="B14" s="58">
        <f>B15+B17+B19+B20+B21+B22+B23</f>
        <v>16619580</v>
      </c>
      <c r="C14" s="58">
        <f>C15+C17+C19+C20+C21+C22+C23</f>
        <v>14873160</v>
      </c>
      <c r="D14" s="58">
        <f>D15+D17+D19+D20+D21+D22+D23</f>
        <v>18926628</v>
      </c>
      <c r="E14" s="59">
        <v>15184094.68</v>
      </c>
      <c r="F14" s="58">
        <f>F15+F17+F19+F20+F21+F22+F23</f>
        <v>9084905.89</v>
      </c>
      <c r="G14" s="58">
        <f>G15+G17+G19+G20+G21+G22+G23</f>
        <v>750000</v>
      </c>
      <c r="H14" s="58">
        <f>H15+H17+H19+H20+H21+H22+H23</f>
        <v>750000</v>
      </c>
      <c r="I14" s="58">
        <f>I15+I17+I19+I20+I21+I22+I23</f>
        <v>750000</v>
      </c>
      <c r="J14" s="58">
        <f>J15+J17+J19+J20+J21+J22+J23</f>
        <v>750000</v>
      </c>
      <c r="K14" s="58">
        <f>K15+K17+K19+K20+K21+K22+K23</f>
        <v>750000</v>
      </c>
      <c r="L14" s="58">
        <f>L15+L17+L19+L20+L21+L22+L23</f>
        <v>750000</v>
      </c>
      <c r="M14" s="58">
        <f>M15+M17+M19+M20+M21+M22+M23</f>
        <v>750000</v>
      </c>
      <c r="N14" s="58">
        <f>N15+N17+N19+N20+N21+N22+N23</f>
        <v>750000</v>
      </c>
      <c r="O14" s="58">
        <f>O15+O17+O19+O20+O21+O22+O23</f>
        <v>750000</v>
      </c>
      <c r="P14" s="58">
        <f>P15+P17+P19+P20+P21+P22+P23</f>
        <v>750000</v>
      </c>
      <c r="Q14" s="58">
        <f>Q15+Q17+Q19+Q20+Q21+Q22+Q23</f>
        <v>750000</v>
      </c>
      <c r="R14" s="58">
        <f>R15+R17+R19+R20+R21+R22+R23</f>
        <v>750000</v>
      </c>
      <c r="S14" s="58">
        <f>S15+S17+S19+S20+S21+S22+S23</f>
        <v>750000</v>
      </c>
      <c r="T14" s="58">
        <f>T15+T17+T19+T20+T21+T22+T23</f>
        <v>750000</v>
      </c>
      <c r="U14" s="58">
        <f>U15+U17+U19+U20+U21+U22+U23</f>
        <v>750000</v>
      </c>
      <c r="V14" s="58">
        <f>V15+V17+V19+V20+V21+V22+V23</f>
        <v>750000</v>
      </c>
      <c r="W14" s="58">
        <f>W15+W17+W19+W20+W21+W22+W23</f>
        <v>750000</v>
      </c>
      <c r="X14" s="58">
        <f>X15+X17+X19+X20+X21+X22+X23</f>
        <v>750000</v>
      </c>
      <c r="Y14" s="58">
        <f>Y15+Y17+Y19+Y20+Y21+Y22+Y23</f>
        <v>750000</v>
      </c>
      <c r="Z14" s="58">
        <f>Z15+Z17+Z19+Z20+Z21+Z22+Z23</f>
        <v>750000</v>
      </c>
    </row>
    <row r="15" spans="1:26" ht="27" customHeight="1">
      <c r="A15" s="60" t="s">
        <v>100</v>
      </c>
      <c r="B15" s="61">
        <v>14411180</v>
      </c>
      <c r="C15" s="61">
        <v>10425160</v>
      </c>
      <c r="D15" s="61">
        <v>15861658</v>
      </c>
      <c r="E15" s="61">
        <v>9201048</v>
      </c>
      <c r="F15" s="65">
        <f>SUM(-F12+F25-F22)</f>
        <v>8373827.890000001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</row>
    <row r="16" spans="1:26" ht="40.5" customHeight="1">
      <c r="A16" s="60" t="s">
        <v>101</v>
      </c>
      <c r="B16" s="61">
        <v>1342298</v>
      </c>
      <c r="C16" s="61">
        <v>4292903</v>
      </c>
      <c r="D16" s="61">
        <v>3134809</v>
      </c>
      <c r="E16" s="61">
        <v>1466212</v>
      </c>
      <c r="F16" s="61">
        <v>2632687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</row>
    <row r="17" spans="1:26" ht="25.5" customHeight="1">
      <c r="A17" s="60" t="s">
        <v>102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</row>
    <row r="18" spans="1:26" ht="37.5" customHeight="1">
      <c r="A18" s="60" t="s">
        <v>103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</row>
    <row r="19" spans="1:26" ht="23.25" customHeight="1">
      <c r="A19" s="60" t="s">
        <v>104</v>
      </c>
      <c r="B19" s="66"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</row>
    <row r="20" spans="1:26" ht="21.75" customHeight="1">
      <c r="A20" s="60" t="s">
        <v>105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</row>
    <row r="21" spans="1:26" ht="23.25" customHeight="1">
      <c r="A21" s="60" t="s">
        <v>106</v>
      </c>
      <c r="B21" s="66">
        <v>0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</row>
    <row r="22" spans="1:26" ht="23.25" customHeight="1">
      <c r="A22" s="60" t="s">
        <v>107</v>
      </c>
      <c r="B22" s="61">
        <v>2208400</v>
      </c>
      <c r="C22" s="61">
        <v>4448000</v>
      </c>
      <c r="D22" s="61">
        <v>3064970</v>
      </c>
      <c r="E22" s="61">
        <v>5983046.68</v>
      </c>
      <c r="F22" s="61">
        <v>711078</v>
      </c>
      <c r="G22" s="61">
        <v>750000</v>
      </c>
      <c r="H22" s="61">
        <v>750000</v>
      </c>
      <c r="I22" s="61">
        <v>750000</v>
      </c>
      <c r="J22" s="61">
        <v>750000</v>
      </c>
      <c r="K22" s="61">
        <v>750000</v>
      </c>
      <c r="L22" s="61">
        <v>750000</v>
      </c>
      <c r="M22" s="61">
        <v>750000</v>
      </c>
      <c r="N22" s="61">
        <v>750000</v>
      </c>
      <c r="O22" s="61">
        <v>750000</v>
      </c>
      <c r="P22" s="61">
        <v>750000</v>
      </c>
      <c r="Q22" s="61">
        <v>750000</v>
      </c>
      <c r="R22" s="61">
        <v>750000</v>
      </c>
      <c r="S22" s="61">
        <v>750000</v>
      </c>
      <c r="T22" s="61">
        <v>750000</v>
      </c>
      <c r="U22" s="61">
        <v>750000</v>
      </c>
      <c r="V22" s="61">
        <v>750000</v>
      </c>
      <c r="W22" s="61">
        <v>750000</v>
      </c>
      <c r="X22" s="61">
        <v>750000</v>
      </c>
      <c r="Y22" s="61">
        <v>750000</v>
      </c>
      <c r="Z22" s="61">
        <v>750000</v>
      </c>
    </row>
    <row r="23" spans="1:26" ht="24.75" customHeight="1">
      <c r="A23" s="60" t="s">
        <v>108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</row>
    <row r="24" spans="1:26" ht="20.25" customHeight="1">
      <c r="A24" s="57" t="s">
        <v>109</v>
      </c>
      <c r="B24" s="58">
        <f>B25+B27+B29+B30</f>
        <v>4216859</v>
      </c>
      <c r="C24" s="58">
        <f>C25+C27+C29+C30</f>
        <v>5932009.02</v>
      </c>
      <c r="D24" s="58">
        <f>D25+D27+D29+D30</f>
        <v>6476116.28</v>
      </c>
      <c r="E24" s="59">
        <v>6701134</v>
      </c>
      <c r="F24" s="58">
        <f>F25+F27+F29+F30</f>
        <v>7281140.890000001</v>
      </c>
      <c r="G24" s="58">
        <f>G25+G27+G29+G30</f>
        <v>5854825.4345</v>
      </c>
      <c r="H24" s="58">
        <f>H25+H27+H29+H30</f>
        <v>5854826.2345</v>
      </c>
      <c r="I24" s="58">
        <f>I25+I27+I29+I30</f>
        <v>3452962.2345</v>
      </c>
      <c r="J24" s="58">
        <f>J25+J27+J29+J30</f>
        <v>3452962.2345</v>
      </c>
      <c r="K24" s="58">
        <f>K25+K27+K29+K30</f>
        <v>3452962.2345</v>
      </c>
      <c r="L24" s="58">
        <f>L25+L27+L29+L30</f>
        <v>3452962.2345</v>
      </c>
      <c r="M24" s="58">
        <f>M25+M27+M29+M30</f>
        <v>3452971.2345</v>
      </c>
      <c r="N24" s="58">
        <f>N25+N27+N29+N30</f>
        <v>2438018.1245</v>
      </c>
      <c r="O24" s="58">
        <f>O25+O27+O29+O30</f>
        <v>890539.3945</v>
      </c>
      <c r="P24" s="58">
        <f>P25+P27+P29+P30</f>
        <v>890539.3945</v>
      </c>
      <c r="Q24" s="58">
        <f>Q25+Q27+Q29+Q30</f>
        <v>890539.3945</v>
      </c>
      <c r="R24" s="58">
        <f>R25+R27+R29+R30</f>
        <v>890539.3945</v>
      </c>
      <c r="S24" s="58">
        <f>S25+S27+S29+S30</f>
        <v>890539.3945</v>
      </c>
      <c r="T24" s="58">
        <f>T25+T27+T29+T30</f>
        <v>890539.3945</v>
      </c>
      <c r="U24" s="58">
        <f>U25+U27+U29+U30</f>
        <v>890539.3945</v>
      </c>
      <c r="V24" s="58">
        <f>V25+V27+V29+V30</f>
        <v>890539.3945</v>
      </c>
      <c r="W24" s="58">
        <f>W25+W27+W29+W30</f>
        <v>890539.3945</v>
      </c>
      <c r="X24" s="58">
        <f>X25+X27+X29+X30</f>
        <v>890539.3945</v>
      </c>
      <c r="Y24" s="58">
        <f>Y25+Y27+Y29+Y30</f>
        <v>890551.3945</v>
      </c>
      <c r="Z24" s="58">
        <f>Z25+Z27+Z29+Z30</f>
        <v>418691.39450000005</v>
      </c>
    </row>
    <row r="25" spans="1:27" ht="25.5" customHeight="1">
      <c r="A25" s="60" t="s">
        <v>110</v>
      </c>
      <c r="B25" s="61">
        <v>4216859</v>
      </c>
      <c r="C25" s="61">
        <v>5932009.02</v>
      </c>
      <c r="D25" s="67">
        <f>SUM(D67:D69)</f>
        <v>6476116.28</v>
      </c>
      <c r="E25" s="68">
        <v>6701134</v>
      </c>
      <c r="F25" s="67">
        <f>SUM(F67:F69)</f>
        <v>7281140.890000001</v>
      </c>
      <c r="G25" s="67">
        <f>SUM(G67:G69)</f>
        <v>5854825.4345</v>
      </c>
      <c r="H25" s="67">
        <f>SUM(H67:H69)</f>
        <v>5854826.2345</v>
      </c>
      <c r="I25" s="67">
        <f>SUM(I67:I69)</f>
        <v>3452962.2345</v>
      </c>
      <c r="J25" s="67">
        <f>SUM(J67:J69)</f>
        <v>3452962.2345</v>
      </c>
      <c r="K25" s="67">
        <f>SUM(K67:K69)</f>
        <v>3452962.2345</v>
      </c>
      <c r="L25" s="67">
        <f>SUM(L67:L69)</f>
        <v>3452962.2345</v>
      </c>
      <c r="M25" s="67">
        <f>SUM(M67:M69)</f>
        <v>3452971.2345</v>
      </c>
      <c r="N25" s="67">
        <f>SUM(N67:N69)</f>
        <v>2438018.1245</v>
      </c>
      <c r="O25" s="67">
        <f>SUM(O67:O69)</f>
        <v>890539.3945</v>
      </c>
      <c r="P25" s="67">
        <f>SUM(P67:P69)</f>
        <v>890539.3945</v>
      </c>
      <c r="Q25" s="67">
        <f>SUM(Q67:Q69)</f>
        <v>890539.3945</v>
      </c>
      <c r="R25" s="67">
        <f>SUM(R67:R69)</f>
        <v>890539.3945</v>
      </c>
      <c r="S25" s="67">
        <f>SUM(S67:S69)</f>
        <v>890539.3945</v>
      </c>
      <c r="T25" s="67">
        <f>SUM(T67:T69)</f>
        <v>890539.3945</v>
      </c>
      <c r="U25" s="67">
        <f>SUM(U67:U69)</f>
        <v>890539.3945</v>
      </c>
      <c r="V25" s="67">
        <f>SUM(V67:V69)</f>
        <v>890539.3945</v>
      </c>
      <c r="W25" s="67">
        <f>SUM(W67:W69)</f>
        <v>890539.3945</v>
      </c>
      <c r="X25" s="67">
        <f>SUM(X67:X69)</f>
        <v>890539.3945</v>
      </c>
      <c r="Y25" s="67">
        <f>SUM(Y67:Y69)</f>
        <v>890551.3945</v>
      </c>
      <c r="Z25" s="67">
        <f>SUM(Z67:Z69)</f>
        <v>418691.39450000005</v>
      </c>
      <c r="AA25" s="69"/>
    </row>
    <row r="26" spans="1:28" ht="48" customHeight="1">
      <c r="A26" s="60" t="s">
        <v>111</v>
      </c>
      <c r="B26" s="61">
        <v>1443268</v>
      </c>
      <c r="C26" s="61">
        <v>1189634</v>
      </c>
      <c r="D26" s="63">
        <f>SUM(D74:D77)</f>
        <v>1661049</v>
      </c>
      <c r="E26" s="61">
        <v>1974529.9</v>
      </c>
      <c r="F26" s="63">
        <f>SUM(F74:F77)</f>
        <v>1245956.9</v>
      </c>
      <c r="G26" s="63">
        <f>SUM(G74:G77)</f>
        <v>1215435.25</v>
      </c>
      <c r="H26" s="63">
        <f>SUM(H74:H77)</f>
        <v>1215435.25</v>
      </c>
      <c r="I26" s="63">
        <f>SUM(I74:I77)</f>
        <v>991718.25</v>
      </c>
      <c r="J26" s="63">
        <f>SUM(J74:J77)</f>
        <v>991718.25</v>
      </c>
      <c r="K26" s="63">
        <f>SUM(K74:K77)</f>
        <v>991718.25</v>
      </c>
      <c r="L26" s="63">
        <f>SUM(L74:L77)</f>
        <v>991718.25</v>
      </c>
      <c r="M26" s="63">
        <f>SUM(M74:M77)</f>
        <v>991721.25</v>
      </c>
      <c r="N26" s="63">
        <f>SUM(N74:N77)</f>
        <v>520303.25</v>
      </c>
      <c r="O26" s="63">
        <f>SUM(O74:O77)</f>
        <v>206822.35</v>
      </c>
      <c r="P26" s="63">
        <f>SUM(P74:P77)</f>
        <v>206822.35</v>
      </c>
      <c r="Q26" s="63">
        <f>SUM(Q74:Q77)</f>
        <v>206822.35</v>
      </c>
      <c r="R26" s="63">
        <f>SUM(R74:R77)</f>
        <v>206822.35</v>
      </c>
      <c r="S26" s="63">
        <f>SUM(S74:S77)</f>
        <v>206822.35</v>
      </c>
      <c r="T26" s="63">
        <f>SUM(T74:T77)</f>
        <v>206822.35</v>
      </c>
      <c r="U26" s="63">
        <f>SUM(U74:U77)</f>
        <v>206822.35</v>
      </c>
      <c r="V26" s="63">
        <f>SUM(V74:V77)</f>
        <v>206822.35</v>
      </c>
      <c r="W26" s="63">
        <f>SUM(W74:W77)</f>
        <v>206822.35</v>
      </c>
      <c r="X26" s="63">
        <f>SUM(X74:X77)</f>
        <v>206822.35</v>
      </c>
      <c r="Y26" s="63">
        <f>SUM(Y74:Y77)</f>
        <v>206868.35</v>
      </c>
      <c r="Z26" s="63">
        <f>SUM(Z74:Z77)</f>
        <v>131634.35</v>
      </c>
      <c r="AB26" s="5"/>
    </row>
    <row r="27" spans="1:26" ht="20.25" customHeight="1">
      <c r="A27" s="60" t="s">
        <v>112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</row>
    <row r="28" spans="1:26" ht="48" customHeight="1">
      <c r="A28" s="60" t="s">
        <v>113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</row>
    <row r="29" spans="1:26" ht="27" customHeight="1">
      <c r="A29" s="60" t="s">
        <v>114</v>
      </c>
      <c r="B29" s="66">
        <v>0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</row>
    <row r="30" spans="1:26" ht="24.75">
      <c r="A30" s="60" t="s">
        <v>115</v>
      </c>
      <c r="B30" s="66">
        <v>0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</row>
    <row r="31" spans="1:28" ht="27" customHeight="1">
      <c r="A31" s="57" t="s">
        <v>116</v>
      </c>
      <c r="B31" s="66">
        <v>0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B31" t="s">
        <v>117</v>
      </c>
    </row>
    <row r="32" spans="1:26" ht="27" customHeight="1">
      <c r="A32" s="57" t="s">
        <v>118</v>
      </c>
      <c r="B32" s="70">
        <f>B33</f>
        <v>62867</v>
      </c>
      <c r="C32" s="70">
        <f>C33</f>
        <v>90829</v>
      </c>
      <c r="D32" s="70">
        <f>D33</f>
        <v>480000</v>
      </c>
      <c r="E32" s="70">
        <f>E33</f>
        <v>348000</v>
      </c>
      <c r="F32" s="70">
        <f>F33</f>
        <v>1192000</v>
      </c>
      <c r="G32" s="70">
        <f>G33</f>
        <v>1000000</v>
      </c>
      <c r="H32" s="70">
        <f>H33</f>
        <v>0</v>
      </c>
      <c r="I32" s="70">
        <f>I33</f>
        <v>0</v>
      </c>
      <c r="J32" s="70">
        <f>J33</f>
        <v>0</v>
      </c>
      <c r="K32" s="70">
        <f>K33</f>
        <v>0</v>
      </c>
      <c r="L32" s="70">
        <f>L33</f>
        <v>0</v>
      </c>
      <c r="M32" s="70">
        <f>M33</f>
        <v>0</v>
      </c>
      <c r="N32" s="70">
        <f>N33</f>
        <v>0</v>
      </c>
      <c r="O32" s="70">
        <f>O33</f>
        <v>0</v>
      </c>
      <c r="P32" s="70">
        <f>P33</f>
        <v>0</v>
      </c>
      <c r="Q32" s="70">
        <f>Q33</f>
        <v>0</v>
      </c>
      <c r="R32" s="70">
        <f>R33</f>
        <v>0</v>
      </c>
      <c r="S32" s="70">
        <f>S33</f>
        <v>0</v>
      </c>
      <c r="T32" s="70">
        <f>T33</f>
        <v>0</v>
      </c>
      <c r="U32" s="70">
        <f>U33</f>
        <v>0</v>
      </c>
      <c r="V32" s="70">
        <f>V33</f>
        <v>0</v>
      </c>
      <c r="W32" s="70">
        <f>W33</f>
        <v>0</v>
      </c>
      <c r="X32" s="70">
        <f>X33</f>
        <v>0</v>
      </c>
      <c r="Y32" s="70">
        <f>Y33</f>
        <v>0</v>
      </c>
      <c r="Z32" s="70">
        <f>Z33</f>
        <v>0</v>
      </c>
    </row>
    <row r="33" spans="1:26" ht="51.75" customHeight="1">
      <c r="A33" s="60" t="s">
        <v>119</v>
      </c>
      <c r="B33" s="61">
        <v>62867</v>
      </c>
      <c r="C33" s="61">
        <v>90829</v>
      </c>
      <c r="D33" s="61">
        <v>480000</v>
      </c>
      <c r="E33" s="61">
        <v>348000</v>
      </c>
      <c r="F33" s="61">
        <f>192000+1000000</f>
        <v>1192000</v>
      </c>
      <c r="G33" s="61">
        <v>1000000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</row>
    <row r="34" spans="1:26" ht="59.25" customHeight="1">
      <c r="A34" s="60" t="s">
        <v>120</v>
      </c>
      <c r="B34" s="71">
        <f>B33</f>
        <v>62867</v>
      </c>
      <c r="C34" s="71">
        <f>C33</f>
        <v>90829</v>
      </c>
      <c r="D34" s="71">
        <f>D33</f>
        <v>480000</v>
      </c>
      <c r="E34" s="71">
        <f>E33</f>
        <v>348000</v>
      </c>
      <c r="F34" s="71">
        <f>F33</f>
        <v>1192000</v>
      </c>
      <c r="G34" s="71">
        <f>G33</f>
        <v>1000000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66">
        <v>0</v>
      </c>
      <c r="T34" s="66">
        <v>0</v>
      </c>
      <c r="U34" s="66"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</row>
    <row r="35" spans="1:26" ht="46.5" customHeight="1">
      <c r="A35" s="57" t="s">
        <v>121</v>
      </c>
      <c r="B35" s="58">
        <f>B36+B37+B38+B39+B40+B41</f>
        <v>3563065</v>
      </c>
      <c r="C35" s="58">
        <f>C36+C37+C38+C39+C40+C41</f>
        <v>5817149.02</v>
      </c>
      <c r="D35" s="58">
        <f>D36+D37+D38+D39+D40+D41</f>
        <v>6066491.87</v>
      </c>
      <c r="E35" s="58">
        <f>E36+E37+E38+E39+E40+E41</f>
        <v>6377331.34</v>
      </c>
      <c r="F35" s="58">
        <f>F36+F37+F38+F39+F40+F41</f>
        <v>8235183.99</v>
      </c>
      <c r="G35" s="58">
        <f>G36+G37+G38+G39+G40+G41</f>
        <v>6785728.260430001</v>
      </c>
      <c r="H35" s="58">
        <f>H36+H37+H38+H39+H40+H41</f>
        <v>6434439.48636</v>
      </c>
      <c r="I35" s="58">
        <f>I36+I37+I38+I39+I40+I41</f>
        <v>4049114.75229</v>
      </c>
      <c r="J35" s="58">
        <f>J36+J37+J38+J39+J40+J41</f>
        <v>3841937.01822</v>
      </c>
      <c r="K35" s="58">
        <f>K36+K37+K38+K39+K40+K41</f>
        <v>3634759.28415</v>
      </c>
      <c r="L35" s="58">
        <f>L36+L37+L38+L39+L40+L41</f>
        <v>3427581.5500800004</v>
      </c>
      <c r="M35" s="58">
        <f>M36+M37+M38+M39+M40+M41</f>
        <v>3220409.27601</v>
      </c>
      <c r="N35" s="58">
        <f>N36+N37+N38+N39+N40+N41</f>
        <v>2530593.07854</v>
      </c>
      <c r="O35" s="58">
        <f>O36+O37+O38+O39+O40+O41</f>
        <v>1243162.8848700006</v>
      </c>
      <c r="P35" s="58">
        <f>P36+P37+P38+P39+P40+P41</f>
        <v>1189730.5212000005</v>
      </c>
      <c r="Q35" s="58">
        <f>Q36+Q37+Q38+Q39+Q40+Q41</f>
        <v>1136298.1575300004</v>
      </c>
      <c r="R35" s="58">
        <f>R36+R37+R38+R39+R40+R41</f>
        <v>1082865.7938600006</v>
      </c>
      <c r="S35" s="58">
        <f>S36+S37+S38+S39+S40+S41</f>
        <v>1029433.4301900005</v>
      </c>
      <c r="T35" s="58">
        <f>T36+T37+T38+T39+T40+T41</f>
        <v>976001.0665200005</v>
      </c>
      <c r="U35" s="58">
        <f>U36+U37+U38+U39+U40+U41</f>
        <v>922568.7028500005</v>
      </c>
      <c r="V35" s="58">
        <f>V36+V37+V38+V39+V40+V41</f>
        <v>869136.3391800005</v>
      </c>
      <c r="W35" s="58">
        <f>W36+W37+W38+W39+W40+W41</f>
        <v>815703.9755100005</v>
      </c>
      <c r="X35" s="58">
        <f>X36+X37+X38+X39+X40+X41</f>
        <v>762271.6118400005</v>
      </c>
      <c r="Y35" s="58">
        <f>Y36+Y37+Y38+Y39+Y40+Y41</f>
        <v>708804.5281700004</v>
      </c>
      <c r="Z35" s="58">
        <f>Z36+Z37+Z38+Z39+Z40+Z41</f>
        <v>287057.0445000001</v>
      </c>
    </row>
    <row r="36" spans="1:26" ht="27" customHeight="1">
      <c r="A36" s="60" t="s">
        <v>122</v>
      </c>
      <c r="B36" s="58">
        <f>B25-B26</f>
        <v>2773591</v>
      </c>
      <c r="C36" s="58">
        <f>C25-C26</f>
        <v>4742375.02</v>
      </c>
      <c r="D36" s="58">
        <f>D25-D26</f>
        <v>4815067.28</v>
      </c>
      <c r="E36" s="59">
        <v>4726604.1</v>
      </c>
      <c r="F36" s="58">
        <f>F25-F26</f>
        <v>6035183.99</v>
      </c>
      <c r="G36" s="58">
        <f>G25-G26</f>
        <v>4639390.1845</v>
      </c>
      <c r="H36" s="58">
        <f>H25-H26</f>
        <v>4639390.9845</v>
      </c>
      <c r="I36" s="58">
        <f>I25-I26</f>
        <v>2461243.9845</v>
      </c>
      <c r="J36" s="58">
        <f>J25-J26</f>
        <v>2461243.9845</v>
      </c>
      <c r="K36" s="58">
        <f>K25-K26</f>
        <v>2461243.9845</v>
      </c>
      <c r="L36" s="58">
        <f>L25-L26</f>
        <v>2461243.9845</v>
      </c>
      <c r="M36" s="58">
        <f>M25-M26</f>
        <v>2461249.9845</v>
      </c>
      <c r="N36" s="58">
        <f>N25-N26</f>
        <v>1917714.8745</v>
      </c>
      <c r="O36" s="58">
        <f>O25-O26</f>
        <v>683717.0445000001</v>
      </c>
      <c r="P36" s="58">
        <f>P25-P26</f>
        <v>683717.0445000001</v>
      </c>
      <c r="Q36" s="58">
        <f>Q25-Q26</f>
        <v>683717.0445000001</v>
      </c>
      <c r="R36" s="58">
        <f>R25-R26</f>
        <v>683717.0445000001</v>
      </c>
      <c r="S36" s="58">
        <f>S25-S26</f>
        <v>683717.0445000001</v>
      </c>
      <c r="T36" s="58">
        <f>T25-T26</f>
        <v>683717.0445000001</v>
      </c>
      <c r="U36" s="58">
        <f>U25-U26</f>
        <v>683717.0445000001</v>
      </c>
      <c r="V36" s="58">
        <f>V25-V26</f>
        <v>683717.0445000001</v>
      </c>
      <c r="W36" s="58">
        <f>W25-W26</f>
        <v>683717.0445000001</v>
      </c>
      <c r="X36" s="58">
        <f>X25-X26</f>
        <v>683717.0445000001</v>
      </c>
      <c r="Y36" s="58">
        <f>Y25-Y26</f>
        <v>683683.0445000001</v>
      </c>
      <c r="Z36" s="58">
        <f>Z25-Z26</f>
        <v>287057.0445000001</v>
      </c>
    </row>
    <row r="37" spans="1:26" ht="27" customHeight="1">
      <c r="A37" s="60" t="s">
        <v>123</v>
      </c>
      <c r="B37" s="61">
        <v>789474</v>
      </c>
      <c r="C37" s="61">
        <v>1074774</v>
      </c>
      <c r="D37" s="61">
        <v>1251424.59</v>
      </c>
      <c r="E37" s="61">
        <v>1650727.24</v>
      </c>
      <c r="F37" s="61">
        <v>2200000</v>
      </c>
      <c r="G37" s="63">
        <f>SUM(G43*0.06)</f>
        <v>2146338.07593</v>
      </c>
      <c r="H37" s="63">
        <f>SUM(H43*0.06)</f>
        <v>1795048.5018600002</v>
      </c>
      <c r="I37" s="63">
        <f>SUM(I43*0.06)</f>
        <v>1587870.7677900002</v>
      </c>
      <c r="J37" s="63">
        <f>SUM(J43*0.06)</f>
        <v>1380693.0337200004</v>
      </c>
      <c r="K37" s="63">
        <f>SUM(K43*0.06)</f>
        <v>1173515.2996500004</v>
      </c>
      <c r="L37" s="63">
        <f>SUM(L43*0.06)</f>
        <v>966337.5655800004</v>
      </c>
      <c r="M37" s="63">
        <f>SUM(M43*0.06)</f>
        <v>759159.2915100005</v>
      </c>
      <c r="N37" s="63">
        <f>SUM(N43*0.06)</f>
        <v>612878.2040400004</v>
      </c>
      <c r="O37" s="63">
        <f>SUM(O43*0.06)</f>
        <v>559445.8403700005</v>
      </c>
      <c r="P37" s="63">
        <f>SUM(P43*0.06)</f>
        <v>506013.47670000046</v>
      </c>
      <c r="Q37" s="63">
        <f>SUM(Q43*0.06)</f>
        <v>452581.1130300004</v>
      </c>
      <c r="R37" s="63">
        <f>SUM(R43*0.06)</f>
        <v>399148.7493600004</v>
      </c>
      <c r="S37" s="63">
        <f>SUM(S43*0.06)</f>
        <v>345716.3856900004</v>
      </c>
      <c r="T37" s="63">
        <f>SUM(T43*0.06)</f>
        <v>292284.0220200004</v>
      </c>
      <c r="U37" s="63">
        <f>SUM(U43*0.06)</f>
        <v>238851.65835000036</v>
      </c>
      <c r="V37" s="63">
        <f>SUM(V43*0.06)</f>
        <v>185419.29468000037</v>
      </c>
      <c r="W37" s="63">
        <f>SUM(W43*0.06)</f>
        <v>131986.93101000038</v>
      </c>
      <c r="X37" s="63">
        <f>SUM(X43*0.06)</f>
        <v>78554.56734000039</v>
      </c>
      <c r="Y37" s="63">
        <f>SUM(Y43*0.06)</f>
        <v>25121.48367000038</v>
      </c>
      <c r="Z37" s="63">
        <f>SUM(Z43*0.06)</f>
        <v>0</v>
      </c>
    </row>
    <row r="38" spans="1:26" ht="27" customHeight="1">
      <c r="A38" s="60" t="s">
        <v>124</v>
      </c>
      <c r="B38" s="58">
        <f>B27-B28</f>
        <v>0</v>
      </c>
      <c r="C38" s="58">
        <f>C27-C28</f>
        <v>0</v>
      </c>
      <c r="D38" s="58">
        <f>D27-D28</f>
        <v>0</v>
      </c>
      <c r="E38" s="59">
        <v>0</v>
      </c>
      <c r="F38" s="58">
        <f>F27-F28</f>
        <v>0</v>
      </c>
      <c r="G38" s="58">
        <f>G27-G28</f>
        <v>0</v>
      </c>
      <c r="H38" s="58">
        <f>H27-H28</f>
        <v>0</v>
      </c>
      <c r="I38" s="58">
        <f>I27-I28</f>
        <v>0</v>
      </c>
      <c r="J38" s="58">
        <f>J27-J28</f>
        <v>0</v>
      </c>
      <c r="K38" s="58">
        <f>K27-K28</f>
        <v>0</v>
      </c>
      <c r="L38" s="58">
        <f>L27-L28</f>
        <v>0</v>
      </c>
      <c r="M38" s="58">
        <f>M27-M28</f>
        <v>0</v>
      </c>
      <c r="N38" s="58">
        <f>N27-N28</f>
        <v>0</v>
      </c>
      <c r="O38" s="58">
        <f>O27-O28</f>
        <v>0</v>
      </c>
      <c r="P38" s="58">
        <f>P27-P28</f>
        <v>0</v>
      </c>
      <c r="Q38" s="58">
        <f>Q27-Q28</f>
        <v>0</v>
      </c>
      <c r="R38" s="58">
        <f>R27-R28</f>
        <v>0</v>
      </c>
      <c r="S38" s="58">
        <f>S27-S28</f>
        <v>0</v>
      </c>
      <c r="T38" s="58">
        <f>T27-T28</f>
        <v>0</v>
      </c>
      <c r="U38" s="58">
        <f>U27-U28</f>
        <v>0</v>
      </c>
      <c r="V38" s="58">
        <f>V27-V28</f>
        <v>0</v>
      </c>
      <c r="W38" s="58">
        <f>W27-W28</f>
        <v>0</v>
      </c>
      <c r="X38" s="58">
        <f>X27-X28</f>
        <v>0</v>
      </c>
      <c r="Y38" s="58">
        <f>Y27-Y28</f>
        <v>0</v>
      </c>
      <c r="Z38" s="58">
        <f>Z27-Z28</f>
        <v>0</v>
      </c>
    </row>
    <row r="39" spans="1:26" ht="27" customHeight="1">
      <c r="A39" s="60" t="s">
        <v>125</v>
      </c>
      <c r="B39" s="61">
        <v>0</v>
      </c>
      <c r="C39" s="61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</row>
    <row r="40" spans="1:26" ht="60" customHeight="1">
      <c r="A40" s="60" t="s">
        <v>126</v>
      </c>
      <c r="B40" s="58">
        <f>B33-B34</f>
        <v>0</v>
      </c>
      <c r="C40" s="58">
        <f>C33-C34</f>
        <v>0</v>
      </c>
      <c r="D40" s="58">
        <f>D33-D34</f>
        <v>0</v>
      </c>
      <c r="E40" s="58">
        <f>E33-E34</f>
        <v>0</v>
      </c>
      <c r="F40" s="58">
        <f>F33-F34</f>
        <v>0</v>
      </c>
      <c r="G40" s="58">
        <f>G33-G34</f>
        <v>0</v>
      </c>
      <c r="H40" s="58">
        <f>H33-H34</f>
        <v>0</v>
      </c>
      <c r="I40" s="58">
        <f>I33-I34</f>
        <v>0</v>
      </c>
      <c r="J40" s="58">
        <f>J33-J34</f>
        <v>0</v>
      </c>
      <c r="K40" s="58">
        <f>K33-K34</f>
        <v>0</v>
      </c>
      <c r="L40" s="58">
        <f>L33-L34</f>
        <v>0</v>
      </c>
      <c r="M40" s="58">
        <f>M33-M34</f>
        <v>0</v>
      </c>
      <c r="N40" s="58">
        <f>N33-N34</f>
        <v>0</v>
      </c>
      <c r="O40" s="58">
        <f>O33-O34</f>
        <v>0</v>
      </c>
      <c r="P40" s="58">
        <f>P33-P34</f>
        <v>0</v>
      </c>
      <c r="Q40" s="58">
        <f>Q33-Q34</f>
        <v>0</v>
      </c>
      <c r="R40" s="58">
        <f>R33-R34</f>
        <v>0</v>
      </c>
      <c r="S40" s="58">
        <f>S33-S34</f>
        <v>0</v>
      </c>
      <c r="T40" s="58">
        <f>T33-T34</f>
        <v>0</v>
      </c>
      <c r="U40" s="58">
        <f>U33-U34</f>
        <v>0</v>
      </c>
      <c r="V40" s="58">
        <f>V33-V34</f>
        <v>0</v>
      </c>
      <c r="W40" s="58">
        <f>W33-W34</f>
        <v>0</v>
      </c>
      <c r="X40" s="58">
        <f>X33-X34</f>
        <v>0</v>
      </c>
      <c r="Y40" s="58">
        <f>Y33-Y34</f>
        <v>0</v>
      </c>
      <c r="Z40" s="58">
        <f>Z33-Z34</f>
        <v>0</v>
      </c>
    </row>
    <row r="41" spans="1:26" ht="48" customHeight="1">
      <c r="A41" s="60" t="s">
        <v>127</v>
      </c>
      <c r="B41" s="66">
        <v>0</v>
      </c>
      <c r="C41" s="66">
        <v>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6">
        <v>0</v>
      </c>
      <c r="S41" s="66">
        <v>0</v>
      </c>
      <c r="T41" s="66">
        <v>0</v>
      </c>
      <c r="U41" s="66"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</row>
    <row r="42" spans="1:26" ht="27" customHeight="1">
      <c r="A42" s="57" t="s">
        <v>128</v>
      </c>
      <c r="B42" s="72">
        <f>B35/B5</f>
        <v>0.06294843871374606</v>
      </c>
      <c r="C42" s="72">
        <f>C35/C5</f>
        <v>0.08862409085697345</v>
      </c>
      <c r="D42" s="72">
        <f>D35/D5</f>
        <v>0.079752272500536</v>
      </c>
      <c r="E42" s="72">
        <f>E35/E5</f>
        <v>0.08775242377238743</v>
      </c>
      <c r="F42" s="72">
        <f>F35/F5</f>
        <v>0.09371102816745246</v>
      </c>
      <c r="G42" s="72">
        <f>G35/G5</f>
        <v>0.0997875339407974</v>
      </c>
      <c r="H42" s="72">
        <f>H35/H5</f>
        <v>0.09844996743230153</v>
      </c>
      <c r="I42" s="72">
        <f>I35/I5</f>
        <v>0.06009381017750474</v>
      </c>
      <c r="J42" s="72">
        <f>J35/J5</f>
        <v>0.055307582457653284</v>
      </c>
      <c r="K42" s="72">
        <f>K35/K5</f>
        <v>0.05075453414636874</v>
      </c>
      <c r="L42" s="72">
        <f>L35/L5</f>
        <v>0.04642497979505961</v>
      </c>
      <c r="M42" s="72">
        <f>M35/M5</f>
        <v>0.04230967700965359</v>
      </c>
      <c r="N42" s="72">
        <f>N35/N5</f>
        <v>0.03224895524814846</v>
      </c>
      <c r="O42" s="73">
        <f>O35/O5</f>
        <v>0.015366892057127548</v>
      </c>
      <c r="P42" s="73">
        <f>P35/P5</f>
        <v>0.014264982985419764</v>
      </c>
      <c r="Q42" s="73">
        <f>Q35/Q5</f>
        <v>0.013215377883018532</v>
      </c>
      <c r="R42" s="73">
        <f>R35/R5</f>
        <v>0.01221592973011953</v>
      </c>
      <c r="S42" s="73">
        <f>S35/S5</f>
        <v>0.011264573266752662</v>
      </c>
      <c r="T42" s="73">
        <f>T35/T5</f>
        <v>0.010359322019229808</v>
      </c>
      <c r="U42" s="73">
        <f>U35/U5</f>
        <v>0.009498265431427537</v>
      </c>
      <c r="V42" s="73">
        <f>V35/V5</f>
        <v>0.008679566097290828</v>
      </c>
      <c r="W42" s="73">
        <f>W35/W5</f>
        <v>0.00790145709106631</v>
      </c>
      <c r="X42" s="73">
        <f>X35/X5</f>
        <v>0.00716223939189186</v>
      </c>
      <c r="Y42" s="73">
        <f>Y35/Y5</f>
        <v>0.006459962965396344</v>
      </c>
      <c r="Z42" s="73">
        <f>Z35/Z5</f>
        <v>0.0025376761091182023</v>
      </c>
    </row>
    <row r="43" spans="1:26" ht="39" customHeight="1">
      <c r="A43" s="57" t="s">
        <v>129</v>
      </c>
      <c r="B43" s="58">
        <f>B44+B46+B48+B49</f>
        <v>24155833</v>
      </c>
      <c r="C43" s="58">
        <f>C44+C46+C48+C49</f>
        <v>28648983.98</v>
      </c>
      <c r="D43" s="58">
        <f>D44+D46+D48+D49</f>
        <v>38034525.7</v>
      </c>
      <c r="E43" s="59">
        <v>40534439.7</v>
      </c>
      <c r="F43" s="74">
        <f>F44+F46+F48+F49</f>
        <v>41627126.7</v>
      </c>
      <c r="G43" s="74">
        <f>G44+G46+G48+G49</f>
        <v>35772301.2655</v>
      </c>
      <c r="H43" s="74">
        <f>H44+H46+H48+H49</f>
        <v>29917475.031000003</v>
      </c>
      <c r="I43" s="74">
        <f>I44+I46+I48+I49</f>
        <v>26464512.796500005</v>
      </c>
      <c r="J43" s="74">
        <f>J44+J46+J48+J49</f>
        <v>23011550.562000006</v>
      </c>
      <c r="K43" s="74">
        <f>K44+K46+K48+K49</f>
        <v>19558588.327500008</v>
      </c>
      <c r="L43" s="74">
        <f>L44+L46+L48+L49</f>
        <v>16105626.093000008</v>
      </c>
      <c r="M43" s="74">
        <f>M44+M46+M48+M49</f>
        <v>12652654.858500008</v>
      </c>
      <c r="N43" s="74">
        <f>N44+N46+N48+N49</f>
        <v>10214636.734000009</v>
      </c>
      <c r="O43" s="58">
        <f>O44+O46+O48+O49</f>
        <v>9324097.339500008</v>
      </c>
      <c r="P43" s="58">
        <f>P44+P46+P48+P49</f>
        <v>8433557.945000008</v>
      </c>
      <c r="Q43" s="58">
        <f>Q44+Q46+Q48+Q49</f>
        <v>7543018.550500007</v>
      </c>
      <c r="R43" s="58">
        <f>R44+R46+R48+R49</f>
        <v>6652479.156000007</v>
      </c>
      <c r="S43" s="58">
        <f>S44+S46+S48+S49</f>
        <v>5761939.761500007</v>
      </c>
      <c r="T43" s="58">
        <f>T44+T46+T48+T49</f>
        <v>4871400.367000006</v>
      </c>
      <c r="U43" s="58">
        <f>U44+U46+U48+U49</f>
        <v>3980860.972500006</v>
      </c>
      <c r="V43" s="58">
        <f>V44+V46+V48+V49</f>
        <v>3090321.5780000063</v>
      </c>
      <c r="W43" s="58">
        <f>W44+W46+W48+W49</f>
        <v>2199782.1835000063</v>
      </c>
      <c r="X43" s="58">
        <f>X44+X46+X48+X49</f>
        <v>1309242.7890000064</v>
      </c>
      <c r="Y43" s="58">
        <f>Y44+Y46+Y48+Y49</f>
        <v>418691.39450000634</v>
      </c>
      <c r="Z43" s="58">
        <f>Z44+Z46+Z48+Z49</f>
        <v>0</v>
      </c>
    </row>
    <row r="44" spans="1:26" ht="27" customHeight="1">
      <c r="A44" s="60" t="s">
        <v>130</v>
      </c>
      <c r="B44" s="75">
        <v>0</v>
      </c>
      <c r="C44" s="76">
        <f>B44+C17-C27</f>
        <v>0</v>
      </c>
      <c r="D44" s="76">
        <f>C44+D17-D27</f>
        <v>0</v>
      </c>
      <c r="E44" s="75">
        <v>0</v>
      </c>
      <c r="F44" s="76">
        <f>E44+F17-F27</f>
        <v>0</v>
      </c>
      <c r="G44" s="76">
        <f>F44+G17-G27</f>
        <v>0</v>
      </c>
      <c r="H44" s="76">
        <f>G44+H17-H27</f>
        <v>0</v>
      </c>
      <c r="I44" s="76">
        <f>H44+I17-I27</f>
        <v>0</v>
      </c>
      <c r="J44" s="76">
        <f>I44+J17-J27</f>
        <v>0</v>
      </c>
      <c r="K44" s="76">
        <f>J44+K17-K27</f>
        <v>0</v>
      </c>
      <c r="L44" s="76">
        <f>K44+L17-L27</f>
        <v>0</v>
      </c>
      <c r="M44" s="76">
        <f>L44+M17-M27</f>
        <v>0</v>
      </c>
      <c r="N44" s="76">
        <f>M44+N17-N27</f>
        <v>0</v>
      </c>
      <c r="O44" s="76">
        <f>N44+O17-O27</f>
        <v>0</v>
      </c>
      <c r="P44" s="76">
        <f>O44+P17-P27</f>
        <v>0</v>
      </c>
      <c r="Q44" s="76">
        <f>P44+Q17-Q27</f>
        <v>0</v>
      </c>
      <c r="R44" s="76">
        <f>Q44+R17-R27</f>
        <v>0</v>
      </c>
      <c r="S44" s="76">
        <f>R44+S17-S27</f>
        <v>0</v>
      </c>
      <c r="T44" s="76">
        <f>S44+T17-T27</f>
        <v>0</v>
      </c>
      <c r="U44" s="76">
        <f>T44+U17-U27</f>
        <v>0</v>
      </c>
      <c r="V44" s="76">
        <f>U44+V17-V27</f>
        <v>0</v>
      </c>
      <c r="W44" s="76">
        <f>V44+W17-W27</f>
        <v>0</v>
      </c>
      <c r="X44" s="76">
        <f>W44+X17-X27</f>
        <v>0</v>
      </c>
      <c r="Y44" s="76">
        <f>X44+Y17-Y27</f>
        <v>0</v>
      </c>
      <c r="Z44" s="76">
        <f>Y44+Z17-Z27</f>
        <v>0</v>
      </c>
    </row>
    <row r="45" spans="1:26" ht="48" customHeight="1">
      <c r="A45" s="60" t="s">
        <v>131</v>
      </c>
      <c r="B45" s="75">
        <v>0</v>
      </c>
      <c r="C45" s="76">
        <f>B45+C18-C28</f>
        <v>0</v>
      </c>
      <c r="D45" s="76">
        <f>C45+D18-D28</f>
        <v>0</v>
      </c>
      <c r="E45" s="75">
        <v>0</v>
      </c>
      <c r="F45" s="76">
        <f>E45+F18-F28</f>
        <v>0</v>
      </c>
      <c r="G45" s="76">
        <f>F45+G18-G28</f>
        <v>0</v>
      </c>
      <c r="H45" s="76">
        <f>G45+H18-H28</f>
        <v>0</v>
      </c>
      <c r="I45" s="76">
        <f>H45+I18-I28</f>
        <v>0</v>
      </c>
      <c r="J45" s="76">
        <f>I45+J18-J28</f>
        <v>0</v>
      </c>
      <c r="K45" s="76">
        <f>J45+K18-K28</f>
        <v>0</v>
      </c>
      <c r="L45" s="76">
        <f>K45+L18-L28</f>
        <v>0</v>
      </c>
      <c r="M45" s="76">
        <f>L45+M18-M28</f>
        <v>0</v>
      </c>
      <c r="N45" s="76">
        <f>M45+N18-N28</f>
        <v>0</v>
      </c>
      <c r="O45" s="76">
        <f>N45+O18-O28</f>
        <v>0</v>
      </c>
      <c r="P45" s="76">
        <f>O45+P18-P28</f>
        <v>0</v>
      </c>
      <c r="Q45" s="76">
        <f>P45+Q18-Q28</f>
        <v>0</v>
      </c>
      <c r="R45" s="76">
        <f>Q45+R18-R28</f>
        <v>0</v>
      </c>
      <c r="S45" s="76">
        <f>R45+S18-S28</f>
        <v>0</v>
      </c>
      <c r="T45" s="76">
        <f>S45+T18-T28</f>
        <v>0</v>
      </c>
      <c r="U45" s="76">
        <f>T45+U18-U28</f>
        <v>0</v>
      </c>
      <c r="V45" s="76">
        <f>U45+V18-V28</f>
        <v>0</v>
      </c>
      <c r="W45" s="76">
        <f>V45+W18-W28</f>
        <v>0</v>
      </c>
      <c r="X45" s="76">
        <f>W45+X18-X28</f>
        <v>0</v>
      </c>
      <c r="Y45" s="76">
        <f>X45+Y18-Y28</f>
        <v>0</v>
      </c>
      <c r="Z45" s="76">
        <f>Y45+Z18-Z28</f>
        <v>0</v>
      </c>
    </row>
    <row r="46" spans="1:26" ht="27" customHeight="1">
      <c r="A46" s="60" t="s">
        <v>132</v>
      </c>
      <c r="B46" s="75">
        <v>24155833</v>
      </c>
      <c r="C46" s="76">
        <f>B46+C15-C25-C31</f>
        <v>28648983.98</v>
      </c>
      <c r="D46" s="76">
        <f>C46+D15-D25-D31</f>
        <v>38034525.7</v>
      </c>
      <c r="E46" s="75">
        <v>40534439.7</v>
      </c>
      <c r="F46" s="76">
        <f>E46+F15-F25-F31</f>
        <v>41627126.7</v>
      </c>
      <c r="G46" s="76">
        <f>F46+G15-G25-G31</f>
        <v>35772301.2655</v>
      </c>
      <c r="H46" s="76">
        <f>G46+H15-H25-H31</f>
        <v>29917475.031000003</v>
      </c>
      <c r="I46" s="76">
        <f>H46+I15-I25-I31</f>
        <v>26464512.796500005</v>
      </c>
      <c r="J46" s="76">
        <f>I46+J15-J25-J31</f>
        <v>23011550.562000006</v>
      </c>
      <c r="K46" s="76">
        <f>J46+K15-K25-K31</f>
        <v>19558588.327500008</v>
      </c>
      <c r="L46" s="76">
        <f>K46+L15-L25-L31</f>
        <v>16105626.093000008</v>
      </c>
      <c r="M46" s="76">
        <f>L46+M15-M25-M31</f>
        <v>12652654.858500008</v>
      </c>
      <c r="N46" s="76">
        <f>M46+N15-N25-N31</f>
        <v>10214636.734000009</v>
      </c>
      <c r="O46" s="76">
        <f>N46+O15-O25-O31</f>
        <v>9324097.339500008</v>
      </c>
      <c r="P46" s="76">
        <f>O46+P15-P25-P31</f>
        <v>8433557.945000008</v>
      </c>
      <c r="Q46" s="76">
        <f>P46+Q15-Q25-Q31</f>
        <v>7543018.550500007</v>
      </c>
      <c r="R46" s="76">
        <f>Q46+R15-R25-R31</f>
        <v>6652479.156000007</v>
      </c>
      <c r="S46" s="76">
        <f>R46+S15-S25-S31</f>
        <v>5761939.761500007</v>
      </c>
      <c r="T46" s="76">
        <f>S46+T15-T25-T31</f>
        <v>4871400.367000006</v>
      </c>
      <c r="U46" s="76">
        <f>T46+U15-U25-U31</f>
        <v>3980860.972500006</v>
      </c>
      <c r="V46" s="76">
        <f>U46+V15-V25-V31</f>
        <v>3090321.5780000063</v>
      </c>
      <c r="W46" s="76">
        <f>V46+W15-W25-W31</f>
        <v>2199782.1835000063</v>
      </c>
      <c r="X46" s="76">
        <f>W46+X15-X25-X31</f>
        <v>1309242.7890000064</v>
      </c>
      <c r="Y46" s="76">
        <f>X46+Y15-Y25-Y31</f>
        <v>418691.39450000634</v>
      </c>
      <c r="Z46" s="76">
        <v>0</v>
      </c>
    </row>
    <row r="47" spans="1:26" ht="48" customHeight="1">
      <c r="A47" s="60" t="s">
        <v>133</v>
      </c>
      <c r="B47" s="75">
        <v>4861053</v>
      </c>
      <c r="C47" s="76">
        <f>B47+C16-C26</f>
        <v>7964322</v>
      </c>
      <c r="D47" s="76">
        <f>C47+D16-D26</f>
        <v>9438082</v>
      </c>
      <c r="E47" s="75">
        <v>8929764.1</v>
      </c>
      <c r="F47" s="76">
        <f>E47+F16-F26</f>
        <v>10316494.2</v>
      </c>
      <c r="G47" s="76">
        <f>F47+G16-G26</f>
        <v>9101058.95</v>
      </c>
      <c r="H47" s="76">
        <f>G47+H16-H26</f>
        <v>7885623.699999999</v>
      </c>
      <c r="I47" s="76">
        <f>H47+I16-I26</f>
        <v>6893905.449999999</v>
      </c>
      <c r="J47" s="76">
        <f>I47+J16-J26</f>
        <v>5902187.199999999</v>
      </c>
      <c r="K47" s="76">
        <f>J47+K16-K26</f>
        <v>4910468.949999999</v>
      </c>
      <c r="L47" s="76">
        <f>K47+L16-L26</f>
        <v>3918750.6999999993</v>
      </c>
      <c r="M47" s="76">
        <f>L47+M16-M26</f>
        <v>2927029.4499999993</v>
      </c>
      <c r="N47" s="76">
        <f>M47+N16-N26</f>
        <v>2406726.1999999993</v>
      </c>
      <c r="O47" s="76">
        <f>N47+O16-O26</f>
        <v>2199903.849999999</v>
      </c>
      <c r="P47" s="76">
        <f>O47+P16-P26</f>
        <v>1993081.499999999</v>
      </c>
      <c r="Q47" s="76">
        <f>P47+Q16-Q26</f>
        <v>1786259.149999999</v>
      </c>
      <c r="R47" s="76">
        <f>Q47+R16-R26</f>
        <v>1579436.7999999989</v>
      </c>
      <c r="S47" s="76">
        <f>R47+S16-S26</f>
        <v>1372614.4499999988</v>
      </c>
      <c r="T47" s="76">
        <f>S47+T16-T26</f>
        <v>1165792.0999999987</v>
      </c>
      <c r="U47" s="76">
        <f>T47+U16-U26</f>
        <v>958969.7499999987</v>
      </c>
      <c r="V47" s="76">
        <f>U47+V16-V26</f>
        <v>752147.3999999987</v>
      </c>
      <c r="W47" s="76">
        <f>V47+W16-W26</f>
        <v>545325.0499999988</v>
      </c>
      <c r="X47" s="76">
        <f>W47+X16-X26</f>
        <v>338502.6999999988</v>
      </c>
      <c r="Y47" s="76">
        <f>X47+Y16-Y26</f>
        <v>131634.34999999878</v>
      </c>
      <c r="Z47" s="77">
        <f>Y47+Z16-Z26</f>
        <v>-1.2223608791828156E-09</v>
      </c>
    </row>
    <row r="48" spans="1:26" ht="27" customHeight="1">
      <c r="A48" s="60" t="s">
        <v>134</v>
      </c>
      <c r="B48" s="66">
        <v>0</v>
      </c>
      <c r="C48" s="66">
        <v>0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66">
        <v>0</v>
      </c>
      <c r="T48" s="66">
        <v>0</v>
      </c>
      <c r="U48" s="66">
        <v>0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</row>
    <row r="49" spans="1:26" ht="27" customHeight="1">
      <c r="A49" s="60" t="s">
        <v>135</v>
      </c>
      <c r="B49" s="66">
        <v>0</v>
      </c>
      <c r="C49" s="66">
        <v>0</v>
      </c>
      <c r="D49" s="66">
        <v>0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66">
        <v>0</v>
      </c>
    </row>
    <row r="50" spans="1:26" ht="27" customHeight="1">
      <c r="A50" s="57" t="s">
        <v>136</v>
      </c>
      <c r="B50" s="73">
        <f>(B43-B45-B47)/B5</f>
        <v>0.3408796292869238</v>
      </c>
      <c r="C50" s="73">
        <f>(C43-C45-C47)/C5</f>
        <v>0.31513020490943255</v>
      </c>
      <c r="D50" s="73">
        <f>(D43-D45-D47)/D5</f>
        <v>0.37593907968241225</v>
      </c>
      <c r="E50" s="73">
        <f>(E43-E45-E47)/E5</f>
        <v>0.4348820436919674</v>
      </c>
      <c r="F50" s="72">
        <f>(F43-F45-F47)/F5</f>
        <v>0.3562945973898335</v>
      </c>
      <c r="G50" s="72">
        <f>(G43-G45-G47)/G5</f>
        <v>0.39221398141170716</v>
      </c>
      <c r="H50" s="72">
        <f>(H43-H45-H47)/H5</f>
        <v>0.3370977457489922</v>
      </c>
      <c r="I50" s="72">
        <f>(I43-I45-I47)/I5</f>
        <v>0.29045172460817925</v>
      </c>
      <c r="J50" s="72">
        <f>(J43-J45-J47)/J5</f>
        <v>0.24630219611985868</v>
      </c>
      <c r="K50" s="72">
        <f>(K43-K45-K47)/K5</f>
        <v>0.20454132364896618</v>
      </c>
      <c r="L50" s="72">
        <f>(L43-L45-L47)/L5</f>
        <v>0.16506549461142045</v>
      </c>
      <c r="M50" s="72">
        <f>(M43-M45-M47)/M5</f>
        <v>0.1277750852402022</v>
      </c>
      <c r="N50" s="72">
        <f>(N43-N45-N47)/N5</f>
        <v>0.09950116418471552</v>
      </c>
      <c r="O50" s="73">
        <f>(O43-O45-O47)/O5</f>
        <v>0.08806304763408827</v>
      </c>
      <c r="P50" s="73">
        <f>(P43-P45-P47)/P5</f>
        <v>0.0772219298982559</v>
      </c>
      <c r="Q50" s="73">
        <f>(Q43-Q45-Q47)/Q5</f>
        <v>0.0669522786383804</v>
      </c>
      <c r="R50" s="73">
        <f>(R43-R45-R47)/R5</f>
        <v>0.05722955632194272</v>
      </c>
      <c r="S50" s="73">
        <f>(S43-S45-S47)/S5</f>
        <v>0.04803018350965931</v>
      </c>
      <c r="T50" s="73">
        <f>(T43-T45-T47)/T5</f>
        <v>0.03933150344993659</v>
      </c>
      <c r="U50" s="73">
        <f>(U43-U45-U47)/U5</f>
        <v>0.031111747935451985</v>
      </c>
      <c r="V50" s="73">
        <f>(V43-V45-V47)/V5</f>
        <v>0.023350004377997485</v>
      </c>
      <c r="W50" s="73">
        <f>(W43-W45-W47)/W5</f>
        <v>0.0160261840592177</v>
      </c>
      <c r="X50" s="73">
        <f>(X43-X45-X47)/X5</f>
        <v>0.009120991516320325</v>
      </c>
      <c r="Y50" s="73">
        <f>(Y43-Y45-Y47)/Y5</f>
        <v>0.0026162048953240085</v>
      </c>
      <c r="Z50" s="73">
        <f>(Z43-Z45-Z47)/Z5</f>
        <v>1.080606123157849E-17</v>
      </c>
    </row>
    <row r="51" spans="1:26" ht="48" customHeight="1">
      <c r="A51" s="57" t="s">
        <v>137</v>
      </c>
      <c r="B51" s="73" t="s">
        <v>14</v>
      </c>
      <c r="C51" s="73" t="s">
        <v>14</v>
      </c>
      <c r="D51" s="78">
        <v>0.104323622108358</v>
      </c>
      <c r="E51" s="73">
        <f>((D6+D8-D10)/D5+(C6+C8-C10)/C5+(B6+B8-B10)/B5)/3</f>
        <v>0.0845167385672977</v>
      </c>
      <c r="F51" s="73">
        <f>((E6+E8-E10)/E5+(D6+D8-D10)/D5+(C6+C8-C10)/C5)/3</f>
        <v>0.09486854270000922</v>
      </c>
      <c r="G51" s="73">
        <f>((F6+F8-F10)/F5+(E6+E8-E10)/E5+(D6+D8-D10)/D5)/3</f>
        <v>0.08366746538734797</v>
      </c>
      <c r="H51" s="73">
        <f>((G6+G8-G10)/G5+(F6+F8-F10)/F5+(E6+E8-E10)/E5)/3</f>
        <v>0.12640653123400933</v>
      </c>
      <c r="I51" s="73">
        <f>((H6+H8-H10)/H5+(G6+G8-G10)/G5+(F6+F8-F10)/F5)/3</f>
        <v>0.14077754864120282</v>
      </c>
      <c r="J51" s="73">
        <f>((I6+I8-I10)/I5+(H6+H8-H10)/H5+(G6+G8-G10)/G5)/3</f>
        <v>0.1815974530765252</v>
      </c>
      <c r="K51" s="73">
        <f>((J6+J8-J10)/J5+(I6+I8-I10)/I5+(H6+H8-H10)/H5)/3</f>
        <v>0.1637543292231365</v>
      </c>
      <c r="L51" s="73">
        <f>((K6+K8-K10)/K5+(J6+J8-J10)/J5+(I6+I8-I10)/I5)/3</f>
        <v>0.16452033169148553</v>
      </c>
      <c r="M51" s="73">
        <f>((L6+L8-L10)/L5+(K6+K8-K10)/K5+(J6+J8-J10)/J5)/3</f>
        <v>0.16528567377545444</v>
      </c>
      <c r="N51" s="73">
        <f>((M6+M8-M10)/M5+(L6+L8-L10)/L5+(K6+K8-K10)/K5)/3</f>
        <v>0.1660503559687806</v>
      </c>
      <c r="O51" s="73">
        <f>((N6+N8-N10)/N5+(M6+M8-M10)/M5+(L6+L8-L10)/L5)/3</f>
        <v>0.16681437876497107</v>
      </c>
      <c r="P51" s="73">
        <f>((O6+O8-O10)/O5+(N6+N8-N10)/N5+(M6+M8-M10)/M5)/3</f>
        <v>0.16757774265730255</v>
      </c>
      <c r="Q51" s="73">
        <f>((P6+P8-P10)/P5+(O6+O8-O10)/O5+(N6+N8-N10)/N5)/3</f>
        <v>0.16834044813882146</v>
      </c>
      <c r="R51" s="73">
        <f>((Q6+Q8-Q10)/Q5+(P6+P8-P10)/P5+(O6+O8-O10)/O5)/3</f>
        <v>0.16910249570234334</v>
      </c>
      <c r="S51" s="73">
        <f>((R6+R8-R10)/R5+(Q6+Q8-Q10)/Q5+(P6+P8-P10)/P5)/3</f>
        <v>0.1698638858404529</v>
      </c>
      <c r="T51" s="73">
        <f>((S6+S8-S10)/S5+(R6+R8-R10)/R5+(Q6+Q8-Q10)/Q5)/3</f>
        <v>0.17062461904550394</v>
      </c>
      <c r="U51" s="73">
        <f>((T6+T8-T10)/T5+(S6+S8-S10)/S5+(R6+R8-R10)/R5)/3</f>
        <v>0.17138469580961901</v>
      </c>
      <c r="V51" s="73">
        <f>((U6+U8-U10)/U5+(T6+T8-T10)/T5+(S6+S8-S10)/S5)/3</f>
        <v>0.17214411662468954</v>
      </c>
      <c r="W51" s="73">
        <f>((V6+V8-V10)/V5+(U6+U8-U10)/U5+(T6+T8-T10)/T5)/3</f>
        <v>0.17290288198237516</v>
      </c>
      <c r="X51" s="73">
        <f>((W6+W8-W10)/W5+(V6+V8-V10)/V5+(U6+U8-U10)/U5)/3</f>
        <v>0.17366099237410418</v>
      </c>
      <c r="Y51" s="73">
        <f>((X6+X8-X10)/X5+(W6+W8-W10)/W5+(V6+V8-V10)/V5)/3</f>
        <v>0.1744184482910728</v>
      </c>
      <c r="Z51" s="73">
        <f>((Y6+Y8-Y10)/Y5+(X6+X8-X10)/X5+(W6+W8-W10)/W5)/3</f>
        <v>0.1751752502242456</v>
      </c>
    </row>
    <row r="52" spans="1:26" ht="48" customHeight="1">
      <c r="A52" s="57" t="s">
        <v>138</v>
      </c>
      <c r="B52" s="73" t="s">
        <v>14</v>
      </c>
      <c r="C52" s="73" t="s">
        <v>14</v>
      </c>
      <c r="D52" s="73" t="str">
        <f>IF(D42&lt;=D51,"TAK","NIE")</f>
        <v>TAK</v>
      </c>
      <c r="E52" s="73" t="str">
        <f>IF(E42&lt;=E51,"TAK","NIE")</f>
        <v>NIE</v>
      </c>
      <c r="F52" s="73" t="str">
        <f>IF(F42&lt;=F51,"TAK","NIE")</f>
        <v>TAK</v>
      </c>
      <c r="G52" s="73" t="str">
        <f>IF(G42&lt;=G51,"TAK","NIE")</f>
        <v>NIE</v>
      </c>
      <c r="H52" s="72" t="str">
        <f>IF(H42&lt;=H51,"TAK","NIE")</f>
        <v>TAK</v>
      </c>
      <c r="I52" s="72" t="str">
        <f>IF(I42&lt;=I51,"TAK","NIE")</f>
        <v>TAK</v>
      </c>
      <c r="J52" s="72" t="str">
        <f>IF(J42&lt;=J51,"TAK","NIE")</f>
        <v>TAK</v>
      </c>
      <c r="K52" s="72" t="str">
        <f>IF(K42&lt;=K51,"TAK","NIE")</f>
        <v>TAK</v>
      </c>
      <c r="L52" s="72" t="str">
        <f>IF(L42&lt;=L51,"TAK","NIE")</f>
        <v>TAK</v>
      </c>
      <c r="M52" s="72" t="str">
        <f>IF(M42&lt;=M51,"TAK","NIE")</f>
        <v>TAK</v>
      </c>
      <c r="N52" s="72" t="str">
        <f>IF(N42&lt;=N51,"TAK","NIE")</f>
        <v>TAK</v>
      </c>
      <c r="O52" s="72" t="str">
        <f>IF(O42&lt;=O51,"TAK","NIE")</f>
        <v>TAK</v>
      </c>
      <c r="P52" s="72" t="str">
        <f>IF(P42&lt;=P51,"TAK","NIE")</f>
        <v>TAK</v>
      </c>
      <c r="Q52" s="73" t="str">
        <f>IF(Q42&lt;=Q51,"TAK","NIE")</f>
        <v>TAK</v>
      </c>
      <c r="R52" s="73" t="str">
        <f>IF(R42&lt;=R51,"TAK","NIE")</f>
        <v>TAK</v>
      </c>
      <c r="S52" s="73" t="str">
        <f>IF(S42&lt;=S51,"TAK","NIE")</f>
        <v>TAK</v>
      </c>
      <c r="T52" s="73" t="str">
        <f>IF(T42&lt;=T51,"TAK","NIE")</f>
        <v>TAK</v>
      </c>
      <c r="U52" s="73" t="str">
        <f>IF(U42&lt;=U51,"TAK","NIE")</f>
        <v>TAK</v>
      </c>
      <c r="V52" s="73" t="str">
        <f>IF(V42&lt;=V51,"TAK","NIE")</f>
        <v>TAK</v>
      </c>
      <c r="W52" s="73" t="str">
        <f>IF(W42&lt;=W51,"TAK","NIE")</f>
        <v>TAK</v>
      </c>
      <c r="X52" s="73" t="str">
        <f>IF(X42&lt;=X51,"TAK","NIE")</f>
        <v>TAK</v>
      </c>
      <c r="Y52" s="73" t="str">
        <f>IF(Y42&lt;=Y51,"TAK","NIE")</f>
        <v>TAK</v>
      </c>
      <c r="Z52" s="73" t="str">
        <f>IF(Z42&lt;=Z51,"TAK","NIE")</f>
        <v>TAK</v>
      </c>
    </row>
    <row r="53" spans="1:26" ht="12.75">
      <c r="A53" t="s">
        <v>53</v>
      </c>
      <c r="B53" s="39"/>
      <c r="C53" s="39"/>
      <c r="D53" s="7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80"/>
      <c r="X53" s="80"/>
      <c r="Y53" s="80"/>
      <c r="Z53" s="39"/>
    </row>
    <row r="54" spans="2:26" ht="12.75">
      <c r="B54" s="39"/>
      <c r="C54" s="39"/>
      <c r="D54" s="7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80"/>
      <c r="X54" s="80"/>
      <c r="Y54" s="80"/>
      <c r="Z54" s="39"/>
    </row>
    <row r="55" spans="1:26" ht="12.75">
      <c r="A55" s="39"/>
      <c r="B55" s="39"/>
      <c r="C55" s="39"/>
      <c r="D55" s="7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81"/>
      <c r="X55" s="81"/>
      <c r="Y55" s="81"/>
      <c r="Z55" s="81"/>
    </row>
    <row r="56" spans="1:26" ht="12.75">
      <c r="A56" s="39"/>
      <c r="B56" s="39"/>
      <c r="C56" s="39"/>
      <c r="D56" s="7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12.75">
      <c r="A57" s="39"/>
      <c r="B57" s="39"/>
      <c r="C57" s="39"/>
      <c r="D57" s="7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81"/>
      <c r="X57" s="81"/>
      <c r="Y57" s="81"/>
      <c r="Z57" s="81"/>
    </row>
    <row r="58" spans="1:26" ht="90" customHeight="1">
      <c r="A58" s="82" t="s">
        <v>139</v>
      </c>
      <c r="B58" s="82"/>
      <c r="C58" s="82"/>
      <c r="D58" s="82"/>
      <c r="E58" s="82"/>
      <c r="F58" s="82"/>
      <c r="G58" s="82"/>
      <c r="H58" s="82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24.75" customHeight="1">
      <c r="A59" s="82"/>
      <c r="B59" s="82"/>
      <c r="C59" s="82"/>
      <c r="D59" s="82"/>
      <c r="E59" s="82"/>
      <c r="F59" s="82"/>
      <c r="G59" s="82"/>
      <c r="H59" s="82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ht="12.75">
      <c r="A60" s="83"/>
      <c r="B60" s="83"/>
      <c r="C60" s="83"/>
      <c r="D60" s="83"/>
      <c r="E60" s="83"/>
      <c r="F60" s="83"/>
      <c r="G60" s="83"/>
      <c r="H60" s="83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12.75">
      <c r="A61" s="83"/>
      <c r="B61" s="83"/>
      <c r="C61" s="83"/>
      <c r="D61" s="83"/>
      <c r="E61" s="83"/>
      <c r="F61" s="83"/>
      <c r="G61" s="83"/>
      <c r="H61" s="83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12.75">
      <c r="A62" s="84" t="s">
        <v>140</v>
      </c>
      <c r="B62" s="39"/>
      <c r="C62" s="39"/>
      <c r="D62" s="79"/>
      <c r="E62" s="85">
        <f>SUM(E6-E10+E22)</f>
        <v>13051089.030000001</v>
      </c>
      <c r="F62" s="85">
        <f>SUM(F6-F10+F22)</f>
        <v>-1569994</v>
      </c>
      <c r="G62" s="85">
        <f>SUM(G6-G10+G22)</f>
        <v>9577779.270910002</v>
      </c>
      <c r="H62" s="85">
        <f>SUM(H6-H10+H22)</f>
        <v>9902473.728308216</v>
      </c>
      <c r="I62" s="85">
        <f>SUM(I6-I10+I22)</f>
        <v>10238764.712885775</v>
      </c>
      <c r="J62" s="85">
        <f>SUM(J6-J10+J22)</f>
        <v>10587057.64695523</v>
      </c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ht="12.75">
      <c r="A63" s="39"/>
      <c r="B63" s="39"/>
      <c r="C63" s="39"/>
      <c r="D63" s="7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ht="12.75">
      <c r="A64" s="39"/>
      <c r="B64" s="39"/>
      <c r="C64" s="39"/>
      <c r="D64" s="7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ht="12.75">
      <c r="A65" s="39"/>
      <c r="B65" s="39"/>
      <c r="C65" s="39"/>
      <c r="D65" s="7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ht="12.75">
      <c r="A66" s="39"/>
      <c r="B66" s="39"/>
      <c r="C66" s="39"/>
      <c r="D66" s="79">
        <v>2010</v>
      </c>
      <c r="E66" s="39">
        <v>2011</v>
      </c>
      <c r="F66" s="39">
        <v>2012</v>
      </c>
      <c r="G66" s="39">
        <v>2013</v>
      </c>
      <c r="H66" s="39">
        <v>2014</v>
      </c>
      <c r="I66" s="39">
        <v>2015</v>
      </c>
      <c r="J66" s="39">
        <v>2016</v>
      </c>
      <c r="K66" s="39">
        <v>2017</v>
      </c>
      <c r="L66" s="39">
        <v>2018</v>
      </c>
      <c r="M66" s="39">
        <v>2019</v>
      </c>
      <c r="N66" s="39">
        <v>2020</v>
      </c>
      <c r="O66" s="39">
        <v>2021</v>
      </c>
      <c r="P66" s="39">
        <v>2022</v>
      </c>
      <c r="Q66" s="39">
        <v>2023</v>
      </c>
      <c r="R66" s="39">
        <v>2024</v>
      </c>
      <c r="S66" s="39">
        <v>2025</v>
      </c>
      <c r="T66" s="39">
        <v>2026</v>
      </c>
      <c r="U66" s="39">
        <v>2027</v>
      </c>
      <c r="V66" s="39">
        <v>2028</v>
      </c>
      <c r="W66" s="39">
        <v>2029</v>
      </c>
      <c r="X66" s="39">
        <v>2030</v>
      </c>
      <c r="Y66" s="39">
        <v>2031</v>
      </c>
      <c r="Z66" s="39">
        <v>2032</v>
      </c>
    </row>
    <row r="67" spans="1:26" ht="51" customHeight="1">
      <c r="A67" s="45" t="s">
        <v>141</v>
      </c>
      <c r="B67" s="86" t="s">
        <v>142</v>
      </c>
      <c r="C67" s="86"/>
      <c r="D67" s="87">
        <v>6476116.28</v>
      </c>
      <c r="E67" s="87">
        <f>6671237.45+29896.55</f>
        <v>6701134</v>
      </c>
      <c r="F67" s="87">
        <f>7075113.44-29896.55</f>
        <v>7045216.890000001</v>
      </c>
      <c r="G67" s="87">
        <v>4964286.04</v>
      </c>
      <c r="H67" s="87">
        <v>4964286.84</v>
      </c>
      <c r="I67" s="87">
        <v>2562422.84</v>
      </c>
      <c r="J67" s="87">
        <v>2562422.84</v>
      </c>
      <c r="K67" s="87">
        <v>2562422.84</v>
      </c>
      <c r="L67" s="87">
        <v>2562422.84</v>
      </c>
      <c r="M67" s="87">
        <v>2562431.84</v>
      </c>
      <c r="N67" s="87">
        <v>1547478.73</v>
      </c>
      <c r="O67" s="88"/>
      <c r="P67" s="89"/>
      <c r="Q67" s="90"/>
      <c r="R67" s="90"/>
      <c r="S67" s="90"/>
      <c r="T67" s="90"/>
      <c r="U67" s="90"/>
      <c r="V67" s="90"/>
      <c r="W67" s="90"/>
      <c r="X67" s="90"/>
      <c r="Y67" s="90"/>
      <c r="Z67" s="90"/>
    </row>
    <row r="68" spans="1:27" ht="15">
      <c r="A68" s="45"/>
      <c r="B68" s="91" t="s">
        <v>143</v>
      </c>
      <c r="C68" s="87">
        <f>E15</f>
        <v>9201048</v>
      </c>
      <c r="D68" s="92">
        <v>0</v>
      </c>
      <c r="E68" s="92">
        <v>0</v>
      </c>
      <c r="F68" s="92">
        <v>235924</v>
      </c>
      <c r="G68" s="92">
        <v>471848</v>
      </c>
      <c r="H68" s="92">
        <v>471848</v>
      </c>
      <c r="I68" s="92">
        <v>471848</v>
      </c>
      <c r="J68" s="92">
        <v>471848</v>
      </c>
      <c r="K68" s="92">
        <v>471848</v>
      </c>
      <c r="L68" s="92">
        <v>471848</v>
      </c>
      <c r="M68" s="92">
        <v>471848</v>
      </c>
      <c r="N68" s="92">
        <v>471848</v>
      </c>
      <c r="O68" s="92">
        <v>471848</v>
      </c>
      <c r="P68" s="92">
        <v>471848</v>
      </c>
      <c r="Q68" s="92">
        <v>471848</v>
      </c>
      <c r="R68" s="92">
        <v>471848</v>
      </c>
      <c r="S68" s="92">
        <v>471848</v>
      </c>
      <c r="T68" s="92">
        <v>471848</v>
      </c>
      <c r="U68" s="92">
        <v>471848</v>
      </c>
      <c r="V68" s="92">
        <v>471848</v>
      </c>
      <c r="W68" s="92">
        <v>471848</v>
      </c>
      <c r="X68" s="92">
        <v>471848</v>
      </c>
      <c r="Y68" s="92">
        <v>471860</v>
      </c>
      <c r="Z68" s="92"/>
      <c r="AA68" s="93">
        <f>SUM(F68:Y68)</f>
        <v>9201048</v>
      </c>
    </row>
    <row r="69" spans="1:27" ht="18" customHeight="1">
      <c r="A69" s="45"/>
      <c r="B69" s="39" t="s">
        <v>144</v>
      </c>
      <c r="C69" s="94">
        <f>F15</f>
        <v>8373827.890000001</v>
      </c>
      <c r="D69" s="90">
        <v>0</v>
      </c>
      <c r="E69" s="90">
        <v>0</v>
      </c>
      <c r="F69" s="90">
        <v>0</v>
      </c>
      <c r="G69" s="90">
        <f>SUM(C69/20)</f>
        <v>418691.39450000005</v>
      </c>
      <c r="H69" s="90">
        <f>G69</f>
        <v>418691.39450000005</v>
      </c>
      <c r="I69" s="90">
        <f>H69</f>
        <v>418691.39450000005</v>
      </c>
      <c r="J69" s="90">
        <f>I69</f>
        <v>418691.39450000005</v>
      </c>
      <c r="K69" s="90">
        <f>J69</f>
        <v>418691.39450000005</v>
      </c>
      <c r="L69" s="90">
        <f>K69</f>
        <v>418691.39450000005</v>
      </c>
      <c r="M69" s="90">
        <f>L69</f>
        <v>418691.39450000005</v>
      </c>
      <c r="N69" s="90">
        <f>M69</f>
        <v>418691.39450000005</v>
      </c>
      <c r="O69" s="90">
        <f>N69</f>
        <v>418691.39450000005</v>
      </c>
      <c r="P69" s="90">
        <f>O69</f>
        <v>418691.39450000005</v>
      </c>
      <c r="Q69" s="90">
        <f>P69</f>
        <v>418691.39450000005</v>
      </c>
      <c r="R69" s="90">
        <f>Q69</f>
        <v>418691.39450000005</v>
      </c>
      <c r="S69" s="90">
        <f>R69</f>
        <v>418691.39450000005</v>
      </c>
      <c r="T69" s="90">
        <f>S69</f>
        <v>418691.39450000005</v>
      </c>
      <c r="U69" s="90">
        <f>T69</f>
        <v>418691.39450000005</v>
      </c>
      <c r="V69" s="90">
        <f>U69</f>
        <v>418691.39450000005</v>
      </c>
      <c r="W69" s="90">
        <f>V69</f>
        <v>418691.39450000005</v>
      </c>
      <c r="X69" s="90">
        <f>W69</f>
        <v>418691.39450000005</v>
      </c>
      <c r="Y69" s="90">
        <f>X69</f>
        <v>418691.39450000005</v>
      </c>
      <c r="Z69" s="90">
        <f>Y69</f>
        <v>418691.39450000005</v>
      </c>
      <c r="AA69" s="93">
        <f>SUM(G69:Z69)</f>
        <v>8373827.890000003</v>
      </c>
    </row>
    <row r="70" spans="1:26" ht="12.75">
      <c r="A70" s="39"/>
      <c r="B70" s="39"/>
      <c r="C70" s="39"/>
      <c r="D70" s="7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ht="12.75">
      <c r="A71" s="39"/>
      <c r="B71" s="39"/>
      <c r="C71" s="39"/>
      <c r="D71" s="7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ht="12.75">
      <c r="A72" s="39"/>
      <c r="B72" s="95" t="s">
        <v>145</v>
      </c>
      <c r="C72" s="95"/>
      <c r="D72" s="7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ht="12.75">
      <c r="A73" s="39"/>
      <c r="B73" s="39"/>
      <c r="C73" s="39"/>
      <c r="D73" s="7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ht="43.5" customHeight="1">
      <c r="A74" s="45" t="s">
        <v>146</v>
      </c>
      <c r="B74" s="96" t="s">
        <v>147</v>
      </c>
      <c r="C74" s="96"/>
      <c r="D74" s="87">
        <v>1661049</v>
      </c>
      <c r="E74" s="87">
        <v>1661049</v>
      </c>
      <c r="F74" s="87">
        <v>894882</v>
      </c>
      <c r="G74" s="87">
        <v>695132</v>
      </c>
      <c r="H74" s="87">
        <v>695132</v>
      </c>
      <c r="I74" s="87">
        <v>471415</v>
      </c>
      <c r="J74" s="87">
        <v>471415</v>
      </c>
      <c r="K74" s="87">
        <v>471415</v>
      </c>
      <c r="L74" s="87">
        <v>471415</v>
      </c>
      <c r="M74" s="87">
        <v>471418</v>
      </c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</row>
    <row r="75" spans="1:26" ht="15">
      <c r="A75" s="39"/>
      <c r="B75" s="39" t="s">
        <v>148</v>
      </c>
      <c r="C75" s="97">
        <f>D16</f>
        <v>3134809</v>
      </c>
      <c r="D75" s="92"/>
      <c r="E75" s="92">
        <v>313480.9</v>
      </c>
      <c r="F75" s="92">
        <v>313480.9</v>
      </c>
      <c r="G75" s="92">
        <v>313480.9</v>
      </c>
      <c r="H75" s="92">
        <v>313480.9</v>
      </c>
      <c r="I75" s="92">
        <v>313480.9</v>
      </c>
      <c r="J75" s="92">
        <v>313480.9</v>
      </c>
      <c r="K75" s="92">
        <v>313480.9</v>
      </c>
      <c r="L75" s="92">
        <v>313480.9</v>
      </c>
      <c r="M75" s="92">
        <v>313480.9</v>
      </c>
      <c r="N75" s="92">
        <v>313480.9</v>
      </c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0"/>
    </row>
    <row r="76" spans="1:27" ht="15">
      <c r="A76" s="45"/>
      <c r="B76" s="91" t="s">
        <v>143</v>
      </c>
      <c r="C76" s="97">
        <f>E16</f>
        <v>1466212</v>
      </c>
      <c r="D76" s="92"/>
      <c r="E76" s="92"/>
      <c r="F76" s="92">
        <v>37594</v>
      </c>
      <c r="G76" s="92">
        <v>75188</v>
      </c>
      <c r="H76" s="92">
        <v>75188</v>
      </c>
      <c r="I76" s="92">
        <v>75188</v>
      </c>
      <c r="J76" s="92">
        <v>75188</v>
      </c>
      <c r="K76" s="92">
        <v>75188</v>
      </c>
      <c r="L76" s="92">
        <v>75188</v>
      </c>
      <c r="M76" s="92">
        <v>75188</v>
      </c>
      <c r="N76" s="92">
        <v>75188</v>
      </c>
      <c r="O76" s="92">
        <v>75188</v>
      </c>
      <c r="P76" s="92">
        <v>75188</v>
      </c>
      <c r="Q76" s="92">
        <v>75188</v>
      </c>
      <c r="R76" s="92">
        <v>75188</v>
      </c>
      <c r="S76" s="92">
        <v>75188</v>
      </c>
      <c r="T76" s="92">
        <v>75188</v>
      </c>
      <c r="U76" s="92">
        <v>75188</v>
      </c>
      <c r="V76" s="92">
        <v>75188</v>
      </c>
      <c r="W76" s="92">
        <v>75188</v>
      </c>
      <c r="X76" s="92">
        <v>75188</v>
      </c>
      <c r="Y76" s="92">
        <v>75234</v>
      </c>
      <c r="Z76" s="90"/>
      <c r="AA76" s="93">
        <f>SUM(F76:Y76)</f>
        <v>1466212</v>
      </c>
    </row>
    <row r="77" spans="1:26" ht="15">
      <c r="A77" s="45"/>
      <c r="B77" s="39" t="s">
        <v>144</v>
      </c>
      <c r="C77" s="94">
        <f>F16</f>
        <v>2632687</v>
      </c>
      <c r="D77" s="90"/>
      <c r="E77" s="90"/>
      <c r="F77" s="90"/>
      <c r="G77" s="90">
        <f>SUM($C77/20)</f>
        <v>131634.35</v>
      </c>
      <c r="H77" s="90">
        <f>SUM($C77/20)</f>
        <v>131634.35</v>
      </c>
      <c r="I77" s="90">
        <f>SUM($C77/20)</f>
        <v>131634.35</v>
      </c>
      <c r="J77" s="90">
        <f>SUM($C77/20)</f>
        <v>131634.35</v>
      </c>
      <c r="K77" s="90">
        <f>SUM($C77/20)</f>
        <v>131634.35</v>
      </c>
      <c r="L77" s="90">
        <f>SUM($C77/20)</f>
        <v>131634.35</v>
      </c>
      <c r="M77" s="90">
        <f>SUM($C77/20)</f>
        <v>131634.35</v>
      </c>
      <c r="N77" s="90">
        <f>SUM($C77/20)</f>
        <v>131634.35</v>
      </c>
      <c r="O77" s="90">
        <f>SUM($C77/20)</f>
        <v>131634.35</v>
      </c>
      <c r="P77" s="90">
        <f>SUM($C77/20)</f>
        <v>131634.35</v>
      </c>
      <c r="Q77" s="90">
        <f>SUM($C77/20)</f>
        <v>131634.35</v>
      </c>
      <c r="R77" s="90">
        <f>SUM($C77/20)</f>
        <v>131634.35</v>
      </c>
      <c r="S77" s="90">
        <f>SUM($C77/20)</f>
        <v>131634.35</v>
      </c>
      <c r="T77" s="90">
        <f>SUM($C77/20)</f>
        <v>131634.35</v>
      </c>
      <c r="U77" s="90">
        <f>SUM($C77/20)</f>
        <v>131634.35</v>
      </c>
      <c r="V77" s="90">
        <f>SUM($C77/20)</f>
        <v>131634.35</v>
      </c>
      <c r="W77" s="90">
        <f>SUM($C77/20)</f>
        <v>131634.35</v>
      </c>
      <c r="X77" s="90">
        <f>SUM($C77/20)</f>
        <v>131634.35</v>
      </c>
      <c r="Y77" s="90">
        <f>SUM($C77/20)</f>
        <v>131634.35</v>
      </c>
      <c r="Z77" s="90">
        <f>SUM($C77/20)</f>
        <v>131634.35</v>
      </c>
    </row>
    <row r="78" spans="1:26" ht="12.75">
      <c r="A78" s="39"/>
      <c r="B78" s="39"/>
      <c r="C78" s="39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</row>
    <row r="79" spans="1:26" ht="12.75">
      <c r="A79" s="39"/>
      <c r="B79" s="39"/>
      <c r="C79" s="39"/>
      <c r="D79" s="7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 ht="12.75">
      <c r="A80" s="39"/>
      <c r="B80" s="39"/>
      <c r="C80" s="39"/>
      <c r="D80" s="7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2" spans="5:11" ht="15">
      <c r="E82" s="98"/>
      <c r="F82" s="98"/>
      <c r="G82" s="98"/>
      <c r="H82" s="98"/>
      <c r="I82" s="98"/>
      <c r="J82" s="98"/>
      <c r="K82" s="98"/>
    </row>
    <row r="83" spans="5:10" ht="15">
      <c r="E83" s="98"/>
      <c r="F83" s="98"/>
      <c r="G83" s="98"/>
      <c r="H83" s="98"/>
      <c r="I83" s="98"/>
      <c r="J83" s="98"/>
    </row>
  </sheetData>
  <sheetProtection selectLockedCells="1" selectUnlockedCells="1"/>
  <mergeCells count="13">
    <mergeCell ref="Y1:Z1"/>
    <mergeCell ref="Y2:Z2"/>
    <mergeCell ref="A3:Z3"/>
    <mergeCell ref="W53:Y53"/>
    <mergeCell ref="W54:Y54"/>
    <mergeCell ref="W55:Z55"/>
    <mergeCell ref="W57:Z57"/>
    <mergeCell ref="A58:H59"/>
    <mergeCell ref="A60:H60"/>
    <mergeCell ref="A61:H61"/>
    <mergeCell ref="B67:C67"/>
    <mergeCell ref="B72:C72"/>
    <mergeCell ref="B74:C74"/>
  </mergeCells>
  <printOptions/>
  <pageMargins left="0.39375" right="0.19652777777777777" top="0.19652777777777777" bottom="0.4722222222222222" header="0.5118055555555555" footer="0.5118055555555555"/>
  <pageSetup firstPageNumber="1" useFirstPageNumber="1" horizontalDpi="300" verticalDpi="300" orientation="landscape" paperSize="8" scale="48"/>
</worksheet>
</file>

<file path=xl/worksheets/sheet3.xml><?xml version="1.0" encoding="utf-8"?>
<worksheet xmlns="http://schemas.openxmlformats.org/spreadsheetml/2006/main" xmlns:r="http://schemas.openxmlformats.org/officeDocument/2006/relationships">
  <dimension ref="B1:P85"/>
  <sheetViews>
    <sheetView workbookViewId="0" topLeftCell="C1">
      <pane ySplit="6" topLeftCell="A37" activePane="bottomLeft" state="frozen"/>
      <selection pane="topLeft" activeCell="C1" sqref="C1"/>
      <selection pane="bottomLeft" activeCell="G9" sqref="G9"/>
    </sheetView>
  </sheetViews>
  <sheetFormatPr defaultColWidth="9.140625" defaultRowHeight="12.75"/>
  <cols>
    <col min="1" max="1" width="3.7109375" style="0" customWidth="1"/>
    <col min="2" max="2" width="2.7109375" style="0" customWidth="1"/>
    <col min="3" max="3" width="56.00390625" style="0" customWidth="1"/>
    <col min="4" max="4" width="13.140625" style="0" customWidth="1"/>
    <col min="5" max="5" width="4.8515625" style="0" customWidth="1"/>
    <col min="6" max="6" width="6.421875" style="0" customWidth="1"/>
    <col min="7" max="7" width="14.140625" style="0" customWidth="1"/>
    <col min="8" max="9" width="14.28125" style="0" customWidth="1"/>
    <col min="10" max="10" width="13.28125" style="0" customWidth="1"/>
    <col min="11" max="12" width="13.421875" style="0" customWidth="1"/>
    <col min="13" max="16384" width="9.28125" style="0" customWidth="1"/>
  </cols>
  <sheetData>
    <row r="1" spans="3:12" s="99" customFormat="1" ht="14.25" customHeight="1">
      <c r="C1" s="100"/>
      <c r="D1" s="100"/>
      <c r="E1" s="100"/>
      <c r="F1" s="100"/>
      <c r="G1" s="100"/>
      <c r="H1" s="100"/>
      <c r="I1" s="100"/>
      <c r="J1" s="4" t="s">
        <v>149</v>
      </c>
      <c r="K1" s="4"/>
      <c r="L1" s="4"/>
    </row>
    <row r="2" spans="3:12" s="99" customFormat="1" ht="39" customHeight="1">
      <c r="C2" s="100"/>
      <c r="D2" s="100"/>
      <c r="E2" s="100"/>
      <c r="F2" s="100"/>
      <c r="G2" s="100"/>
      <c r="H2" s="100"/>
      <c r="I2" s="100"/>
      <c r="J2" s="101" t="s">
        <v>150</v>
      </c>
      <c r="K2" s="101"/>
      <c r="L2" s="101"/>
    </row>
    <row r="3" spans="3:12" s="99" customFormat="1" ht="19.5">
      <c r="C3" s="102" t="s">
        <v>151</v>
      </c>
      <c r="D3" s="102"/>
      <c r="E3" s="102"/>
      <c r="F3" s="102"/>
      <c r="G3" s="102"/>
      <c r="H3" s="102"/>
      <c r="I3" s="102"/>
      <c r="J3" s="102" t="s">
        <v>63</v>
      </c>
      <c r="K3" s="102"/>
      <c r="L3" s="102"/>
    </row>
    <row r="4" s="99" customFormat="1" ht="7.5" customHeight="1"/>
    <row r="5" spans="2:12" s="99" customFormat="1" ht="73.5" customHeight="1">
      <c r="B5" s="103" t="s">
        <v>2</v>
      </c>
      <c r="C5" s="103" t="s">
        <v>152</v>
      </c>
      <c r="D5" s="103" t="s">
        <v>153</v>
      </c>
      <c r="E5" s="103" t="s">
        <v>154</v>
      </c>
      <c r="F5" s="103"/>
      <c r="G5" s="103" t="s">
        <v>155</v>
      </c>
      <c r="H5" s="103" t="s">
        <v>156</v>
      </c>
      <c r="I5" s="103"/>
      <c r="J5" s="103"/>
      <c r="K5" s="103"/>
      <c r="L5" s="103" t="s">
        <v>157</v>
      </c>
    </row>
    <row r="6" spans="2:12" s="99" customFormat="1" ht="9" customHeight="1">
      <c r="B6" s="103"/>
      <c r="C6" s="103"/>
      <c r="D6" s="103"/>
      <c r="E6" s="103" t="s">
        <v>158</v>
      </c>
      <c r="F6" s="103" t="s">
        <v>159</v>
      </c>
      <c r="G6" s="103"/>
      <c r="H6" s="103">
        <v>2012</v>
      </c>
      <c r="I6" s="103">
        <v>2013</v>
      </c>
      <c r="J6" s="103">
        <v>2014</v>
      </c>
      <c r="K6" s="103">
        <v>2015</v>
      </c>
      <c r="L6" s="103"/>
    </row>
    <row r="7" spans="2:12" s="99" customFormat="1" ht="11.25">
      <c r="B7" s="104">
        <v>1</v>
      </c>
      <c r="C7" s="104">
        <v>2</v>
      </c>
      <c r="D7" s="104">
        <v>3</v>
      </c>
      <c r="E7" s="104">
        <v>4</v>
      </c>
      <c r="F7" s="104">
        <v>5</v>
      </c>
      <c r="G7" s="104">
        <v>6</v>
      </c>
      <c r="H7" s="104">
        <v>7</v>
      </c>
      <c r="I7" s="104">
        <v>8</v>
      </c>
      <c r="J7" s="104">
        <v>9</v>
      </c>
      <c r="K7" s="104">
        <v>10</v>
      </c>
      <c r="L7" s="104">
        <v>11</v>
      </c>
    </row>
    <row r="8" spans="2:12" s="105" customFormat="1" ht="30.75" customHeight="1">
      <c r="B8" s="106"/>
      <c r="C8" s="107" t="s">
        <v>160</v>
      </c>
      <c r="D8" s="107"/>
      <c r="E8" s="107"/>
      <c r="F8" s="107"/>
      <c r="G8" s="108">
        <f>SUM(G9,G10)</f>
        <v>63412615.75</v>
      </c>
      <c r="H8" s="108">
        <f>SUM(H9,H10)</f>
        <v>26816301</v>
      </c>
      <c r="I8" s="108">
        <f>SUM(I9,I10)</f>
        <v>4968847</v>
      </c>
      <c r="J8" s="108">
        <f>SUM(J9,J10)</f>
        <v>1530000</v>
      </c>
      <c r="K8" s="108">
        <f>SUM(K9,K10)</f>
        <v>1500000</v>
      </c>
      <c r="L8" s="108">
        <f>SUM(L9,L10)</f>
        <v>0</v>
      </c>
    </row>
    <row r="9" spans="2:12" s="109" customFormat="1" ht="17.25">
      <c r="B9" s="110"/>
      <c r="C9" s="111" t="s">
        <v>161</v>
      </c>
      <c r="D9" s="111"/>
      <c r="E9" s="111"/>
      <c r="F9" s="111"/>
      <c r="G9" s="112">
        <f>SUM(G12,G75,G80)</f>
        <v>1861833.32</v>
      </c>
      <c r="H9" s="112">
        <f>SUM(H12,H75,H78)</f>
        <v>1500035</v>
      </c>
      <c r="I9" s="112">
        <f>SUM(I12,I75,I78)</f>
        <v>1055620</v>
      </c>
      <c r="J9" s="112">
        <f>SUM(J12,J75,J78)</f>
        <v>30000</v>
      </c>
      <c r="K9" s="112">
        <f>SUM(K12,K75,K78)</f>
        <v>0</v>
      </c>
      <c r="L9" s="112">
        <f>SUM(L12,L75,L80)</f>
        <v>0</v>
      </c>
    </row>
    <row r="10" spans="2:16" s="109" customFormat="1" ht="17.25">
      <c r="B10" s="110"/>
      <c r="C10" s="111" t="s">
        <v>162</v>
      </c>
      <c r="D10" s="111"/>
      <c r="E10" s="111"/>
      <c r="F10" s="111"/>
      <c r="G10" s="112">
        <f>SUM(G13,G76)</f>
        <v>61550782.43</v>
      </c>
      <c r="H10" s="112">
        <f>SUM(H13,H76)</f>
        <v>25316266</v>
      </c>
      <c r="I10" s="112">
        <f>SUM(I13,I76)</f>
        <v>3913227</v>
      </c>
      <c r="J10" s="112">
        <f>SUM(J13,J76)</f>
        <v>1500000</v>
      </c>
      <c r="K10" s="112">
        <f>SUM(K13,K76)</f>
        <v>1500000</v>
      </c>
      <c r="L10" s="112">
        <f>SUM(L13,L76)</f>
        <v>0</v>
      </c>
      <c r="M10" s="113"/>
      <c r="N10" s="113"/>
      <c r="O10" s="113"/>
      <c r="P10" s="113"/>
    </row>
    <row r="11" spans="2:12" s="109" customFormat="1" ht="15">
      <c r="B11" s="110"/>
      <c r="C11" s="114" t="s">
        <v>163</v>
      </c>
      <c r="D11" s="114"/>
      <c r="E11" s="114"/>
      <c r="F11" s="114"/>
      <c r="G11" s="115">
        <f>SUM(G12,G13)</f>
        <v>62712615.75</v>
      </c>
      <c r="H11" s="115">
        <f>SUM(H12,H13)</f>
        <v>25624301</v>
      </c>
      <c r="I11" s="115">
        <f>SUM(I12,I13)</f>
        <v>3968847</v>
      </c>
      <c r="J11" s="115">
        <f>SUM(J12,J13)</f>
        <v>1530000</v>
      </c>
      <c r="K11" s="115">
        <f>SUM(K12,K13)</f>
        <v>1500000</v>
      </c>
      <c r="L11" s="115">
        <f>SUM(L12,L13)</f>
        <v>0</v>
      </c>
    </row>
    <row r="12" spans="2:12" s="109" customFormat="1" ht="15">
      <c r="B12" s="110"/>
      <c r="C12" s="116" t="s">
        <v>161</v>
      </c>
      <c r="D12" s="116"/>
      <c r="E12" s="116"/>
      <c r="F12" s="116"/>
      <c r="G12" s="112">
        <f>SUM(G15,G57,G60)</f>
        <v>1161833.32</v>
      </c>
      <c r="H12" s="112">
        <f>SUM(H15,H57,H60)</f>
        <v>308035</v>
      </c>
      <c r="I12" s="112">
        <f>SUM(I15,I57,I60)</f>
        <v>55620</v>
      </c>
      <c r="J12" s="112">
        <f>SUM(J15,J57,J60)</f>
        <v>30000</v>
      </c>
      <c r="K12" s="112">
        <f>SUM(K15,K57,K60)</f>
        <v>0</v>
      </c>
      <c r="L12" s="112">
        <f>SUM(L15,L57,L60)</f>
        <v>0</v>
      </c>
    </row>
    <row r="13" spans="2:12" s="109" customFormat="1" ht="15">
      <c r="B13" s="110"/>
      <c r="C13" s="116" t="s">
        <v>162</v>
      </c>
      <c r="D13" s="116"/>
      <c r="E13" s="116"/>
      <c r="F13" s="116"/>
      <c r="G13" s="112">
        <f>SUM(G16,G58,G61)</f>
        <v>61550782.43</v>
      </c>
      <c r="H13" s="112">
        <f>SUM(H16,H58,H61)</f>
        <v>25316266</v>
      </c>
      <c r="I13" s="112">
        <f>SUM(I16,I58,I61)</f>
        <v>3913227</v>
      </c>
      <c r="J13" s="112">
        <f>SUM(J16,J58,J61)</f>
        <v>1500000</v>
      </c>
      <c r="K13" s="112">
        <f>SUM(K16,K58,K61)</f>
        <v>1500000</v>
      </c>
      <c r="L13" s="112">
        <f>SUM(L16,L58,L61)</f>
        <v>0</v>
      </c>
    </row>
    <row r="14" spans="2:12" s="117" customFormat="1" ht="30.75" customHeight="1">
      <c r="B14" s="118"/>
      <c r="C14" s="119" t="s">
        <v>164</v>
      </c>
      <c r="D14" s="119"/>
      <c r="E14" s="119"/>
      <c r="F14" s="119"/>
      <c r="G14" s="115">
        <f>SUM(G15,G16)</f>
        <v>54462615.75</v>
      </c>
      <c r="H14" s="115">
        <f>SUM(H15,H16)</f>
        <v>25440728</v>
      </c>
      <c r="I14" s="115">
        <f>SUM(I15,I16)</f>
        <v>342420</v>
      </c>
      <c r="J14" s="115">
        <f>SUM(J15,J16)</f>
        <v>30000</v>
      </c>
      <c r="K14" s="115">
        <f>SUM(K15,K16)</f>
        <v>0</v>
      </c>
      <c r="L14" s="115">
        <f>SUM(L15,L16)</f>
        <v>0</v>
      </c>
    </row>
    <row r="15" spans="2:12" s="117" customFormat="1" ht="13.5">
      <c r="B15" s="118"/>
      <c r="C15" s="120" t="s">
        <v>165</v>
      </c>
      <c r="D15" s="120"/>
      <c r="E15" s="120"/>
      <c r="F15" s="120"/>
      <c r="G15" s="112">
        <f>SUM(G18,G21,G24,G27,G30,G33,G36,G39,G42,G45,G48,G51,G54)</f>
        <v>1161833.32</v>
      </c>
      <c r="H15" s="112">
        <f>SUM(H18,H21,H24,H27,H30,H33,H36,H39,H42,H45,H48,H51,H54)</f>
        <v>308035</v>
      </c>
      <c r="I15" s="112">
        <f>SUM(I18,I21,I24,I27,I30,I33,I36,I39,I42,I45,I48,I51,I54)</f>
        <v>55620</v>
      </c>
      <c r="J15" s="112">
        <f>SUM(J18,J21,J24,J27,J30,J33,J36,J39,J42,J45,J48,J51,J54)</f>
        <v>30000</v>
      </c>
      <c r="K15" s="112">
        <f>SUM(K18,K21,K24,K27,K30,K33,K36,K39,K42,K45,K48,K51,K54)</f>
        <v>0</v>
      </c>
      <c r="L15" s="112">
        <f>SUM(L18,L21,L24,L27,L30,L33,L36,L39,L42,L45,L48,L51,L54)</f>
        <v>0</v>
      </c>
    </row>
    <row r="16" spans="2:12" s="117" customFormat="1" ht="13.5">
      <c r="B16" s="118"/>
      <c r="C16" s="120" t="s">
        <v>166</v>
      </c>
      <c r="D16" s="120"/>
      <c r="E16" s="120"/>
      <c r="F16" s="120"/>
      <c r="G16" s="112">
        <f>SUM(G19,G22,G25,G28,G31,G34,G37,G40,G43,G46,G49,G52,G55)</f>
        <v>53300782.43</v>
      </c>
      <c r="H16" s="112">
        <f>SUM(H19,H22,H25,H28,H31,H34,H37,H40,H43,H46,H49,H52,H55)</f>
        <v>25132693</v>
      </c>
      <c r="I16" s="112">
        <f>SUM(I19,I22,I25,I28,I31,I34,I37,I40,I43,I46,I49,I52,I55)</f>
        <v>286800</v>
      </c>
      <c r="J16" s="112">
        <f>SUM(J19,J22,J25,J28,J31,J34,J37,J40,J43,J46,J49,J52,J55)</f>
        <v>0</v>
      </c>
      <c r="K16" s="112">
        <f>SUM(K19,K22,K25,K28,K31,K34,K37,K40,K43,K46,K49,K52,K55)</f>
        <v>0</v>
      </c>
      <c r="L16" s="112">
        <f>SUM(L19,L22,L25,L28,L31,L34,L37,L40,L43,L46,L49,L52,L55)</f>
        <v>0</v>
      </c>
    </row>
    <row r="17" spans="2:12" s="117" customFormat="1" ht="88.5" customHeight="1">
      <c r="B17" s="118"/>
      <c r="C17" s="121" t="s">
        <v>167</v>
      </c>
      <c r="D17" s="122" t="s">
        <v>168</v>
      </c>
      <c r="E17" s="123">
        <v>2011</v>
      </c>
      <c r="F17" s="124">
        <v>2012</v>
      </c>
      <c r="G17" s="125">
        <f>SUM(G18:G19)</f>
        <v>6521671</v>
      </c>
      <c r="H17" s="125">
        <f>SUM(H18:H19)</f>
        <v>3982752</v>
      </c>
      <c r="I17" s="125">
        <f>SUM(I18:I19)</f>
        <v>0</v>
      </c>
      <c r="J17" s="125">
        <f>SUM(J18:J19)</f>
        <v>0</v>
      </c>
      <c r="K17" s="125">
        <f>SUM(K18:K19)</f>
        <v>0</v>
      </c>
      <c r="L17" s="125">
        <f>SUM(L18:L19)</f>
        <v>0</v>
      </c>
    </row>
    <row r="18" spans="2:12" s="117" customFormat="1" ht="13.5">
      <c r="B18" s="118"/>
      <c r="C18" s="120" t="s">
        <v>161</v>
      </c>
      <c r="D18" s="126"/>
      <c r="E18" s="127"/>
      <c r="F18" s="128"/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</row>
    <row r="19" spans="2:12" s="117" customFormat="1" ht="15.75" customHeight="1">
      <c r="B19" s="118"/>
      <c r="C19" s="120" t="s">
        <v>162</v>
      </c>
      <c r="D19" s="126"/>
      <c r="E19" s="127"/>
      <c r="F19" s="128"/>
      <c r="G19" s="129">
        <v>6521671</v>
      </c>
      <c r="H19" s="129">
        <f>5403540-1420788</f>
        <v>3982752</v>
      </c>
      <c r="I19" s="129">
        <v>0</v>
      </c>
      <c r="J19" s="129">
        <v>0</v>
      </c>
      <c r="K19" s="129">
        <v>0</v>
      </c>
      <c r="L19" s="129">
        <v>0</v>
      </c>
    </row>
    <row r="20" spans="2:12" s="117" customFormat="1" ht="91.5" customHeight="1">
      <c r="B20" s="118"/>
      <c r="C20" s="121" t="s">
        <v>169</v>
      </c>
      <c r="D20" s="122" t="s">
        <v>168</v>
      </c>
      <c r="E20" s="123">
        <v>2010</v>
      </c>
      <c r="F20" s="124">
        <v>2012</v>
      </c>
      <c r="G20" s="125">
        <f>SUM(G21:G22)</f>
        <v>3260000</v>
      </c>
      <c r="H20" s="125">
        <f>SUM(H21:H22)</f>
        <v>434099</v>
      </c>
      <c r="I20" s="125">
        <f>SUM(I21:I22)</f>
        <v>0</v>
      </c>
      <c r="J20" s="125">
        <f>SUM(J21:J22)</f>
        <v>0</v>
      </c>
      <c r="K20" s="125">
        <f>SUM(K21:K22)</f>
        <v>0</v>
      </c>
      <c r="L20" s="125">
        <f>SUM(L21:L22)</f>
        <v>0</v>
      </c>
    </row>
    <row r="21" spans="2:12" s="117" customFormat="1" ht="13.5">
      <c r="B21" s="118"/>
      <c r="C21" s="120" t="s">
        <v>161</v>
      </c>
      <c r="D21" s="126"/>
      <c r="E21" s="127"/>
      <c r="F21" s="128"/>
      <c r="G21" s="130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</row>
    <row r="22" spans="2:12" ht="13.5">
      <c r="B22" s="118"/>
      <c r="C22" s="120" t="s">
        <v>162</v>
      </c>
      <c r="D22" s="126"/>
      <c r="E22" s="127"/>
      <c r="F22" s="128"/>
      <c r="G22" s="129">
        <v>3260000</v>
      </c>
      <c r="H22" s="129">
        <f>304220+129879</f>
        <v>434099</v>
      </c>
      <c r="I22" s="129">
        <v>0</v>
      </c>
      <c r="J22" s="129">
        <v>0</v>
      </c>
      <c r="K22" s="129">
        <v>0</v>
      </c>
      <c r="L22" s="129">
        <v>0</v>
      </c>
    </row>
    <row r="23" spans="2:12" ht="92.25" customHeight="1">
      <c r="B23" s="118"/>
      <c r="C23" s="121" t="s">
        <v>170</v>
      </c>
      <c r="D23" s="122" t="s">
        <v>168</v>
      </c>
      <c r="E23" s="123">
        <v>2008</v>
      </c>
      <c r="F23" s="124">
        <v>2012</v>
      </c>
      <c r="G23" s="125">
        <f>SUM(G24:G25)</f>
        <v>6837213</v>
      </c>
      <c r="H23" s="125">
        <f>SUM(H24:H25)</f>
        <v>3395104</v>
      </c>
      <c r="I23" s="125">
        <f>SUM(I24:I25)</f>
        <v>0</v>
      </c>
      <c r="J23" s="125">
        <f>SUM(J24:J25)</f>
        <v>0</v>
      </c>
      <c r="K23" s="125">
        <f>SUM(K24:K25)</f>
        <v>0</v>
      </c>
      <c r="L23" s="125">
        <f>SUM(L24:L25)</f>
        <v>0</v>
      </c>
    </row>
    <row r="24" spans="2:12" ht="13.5">
      <c r="B24" s="118"/>
      <c r="C24" s="120" t="s">
        <v>161</v>
      </c>
      <c r="D24" s="126"/>
      <c r="E24" s="127"/>
      <c r="F24" s="128"/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</row>
    <row r="25" spans="2:12" ht="13.5">
      <c r="B25" s="118"/>
      <c r="C25" s="120" t="s">
        <v>162</v>
      </c>
      <c r="D25" s="126"/>
      <c r="E25" s="127"/>
      <c r="F25" s="128"/>
      <c r="G25" s="129">
        <v>6837213</v>
      </c>
      <c r="H25" s="129">
        <f>1600267+1794837</f>
        <v>3395104</v>
      </c>
      <c r="I25" s="129">
        <v>0</v>
      </c>
      <c r="J25" s="129">
        <v>0</v>
      </c>
      <c r="K25" s="129">
        <v>0</v>
      </c>
      <c r="L25" s="129">
        <v>0</v>
      </c>
    </row>
    <row r="26" spans="2:12" ht="104.25" customHeight="1">
      <c r="B26" s="118"/>
      <c r="C26" s="121" t="s">
        <v>171</v>
      </c>
      <c r="D26" s="122" t="s">
        <v>168</v>
      </c>
      <c r="E26" s="123">
        <v>2008</v>
      </c>
      <c r="F26" s="124">
        <v>2012</v>
      </c>
      <c r="G26" s="125">
        <f>SUM(G27:G28)</f>
        <v>22532072</v>
      </c>
      <c r="H26" s="125">
        <f>SUM(H27:H28)</f>
        <v>9132928</v>
      </c>
      <c r="I26" s="125">
        <f>SUM(I27:I28)</f>
        <v>0</v>
      </c>
      <c r="J26" s="125">
        <f>SUM(J27:J28)</f>
        <v>0</v>
      </c>
      <c r="K26" s="125"/>
      <c r="L26" s="125">
        <f>SUM(L27:L28)</f>
        <v>0</v>
      </c>
    </row>
    <row r="27" spans="2:12" ht="14.25" customHeight="1">
      <c r="B27" s="118"/>
      <c r="C27" s="120" t="s">
        <v>161</v>
      </c>
      <c r="D27" s="126"/>
      <c r="E27" s="127"/>
      <c r="F27" s="128"/>
      <c r="G27" s="129">
        <v>0</v>
      </c>
      <c r="H27" s="129">
        <v>0</v>
      </c>
      <c r="I27" s="129">
        <v>0</v>
      </c>
      <c r="J27" s="129">
        <v>0</v>
      </c>
      <c r="K27" s="129"/>
      <c r="L27" s="129">
        <v>0</v>
      </c>
    </row>
    <row r="28" spans="2:12" ht="13.5">
      <c r="B28" s="118"/>
      <c r="C28" s="120" t="s">
        <v>162</v>
      </c>
      <c r="D28" s="126"/>
      <c r="E28" s="127"/>
      <c r="F28" s="128"/>
      <c r="G28" s="129">
        <v>22532072</v>
      </c>
      <c r="H28" s="129">
        <f>7983464+1149464</f>
        <v>9132928</v>
      </c>
      <c r="I28" s="129">
        <v>0</v>
      </c>
      <c r="J28" s="129">
        <v>0</v>
      </c>
      <c r="K28" s="129"/>
      <c r="L28" s="129">
        <v>0</v>
      </c>
    </row>
    <row r="29" spans="2:12" ht="97.5" customHeight="1">
      <c r="B29" s="118"/>
      <c r="C29" s="121" t="s">
        <v>172</v>
      </c>
      <c r="D29" s="122" t="s">
        <v>168</v>
      </c>
      <c r="E29" s="123">
        <v>2008</v>
      </c>
      <c r="F29" s="124">
        <v>2013</v>
      </c>
      <c r="G29" s="125">
        <f>SUM(G30:G31)</f>
        <v>12685671</v>
      </c>
      <c r="H29" s="125">
        <f>SUM(H30:H31)</f>
        <v>7103180</v>
      </c>
      <c r="I29" s="125">
        <f>SUM(I30:I31)</f>
        <v>0</v>
      </c>
      <c r="J29" s="125">
        <f>SUM(J30:J31)</f>
        <v>0</v>
      </c>
      <c r="K29" s="125">
        <f>SUM(K30:K31)</f>
        <v>0</v>
      </c>
      <c r="L29" s="125">
        <f>SUM(L30:L31)</f>
        <v>0</v>
      </c>
    </row>
    <row r="30" spans="2:12" ht="13.5">
      <c r="B30" s="118"/>
      <c r="C30" s="120" t="s">
        <v>161</v>
      </c>
      <c r="D30" s="126"/>
      <c r="E30" s="127"/>
      <c r="F30" s="128"/>
      <c r="G30" s="129">
        <v>0</v>
      </c>
      <c r="H30" s="129">
        <v>0</v>
      </c>
      <c r="I30" s="129">
        <v>0</v>
      </c>
      <c r="J30" s="129">
        <v>0</v>
      </c>
      <c r="K30" s="129">
        <v>0</v>
      </c>
      <c r="L30" s="129">
        <v>0</v>
      </c>
    </row>
    <row r="31" spans="2:12" ht="13.5">
      <c r="B31" s="118"/>
      <c r="C31" s="120" t="s">
        <v>162</v>
      </c>
      <c r="D31" s="126"/>
      <c r="E31" s="127"/>
      <c r="F31" s="128"/>
      <c r="G31" s="129">
        <f>11585671+1100000</f>
        <v>12685671</v>
      </c>
      <c r="H31" s="129">
        <f>2486352+900000+3716828</f>
        <v>7103180</v>
      </c>
      <c r="I31" s="129">
        <v>0</v>
      </c>
      <c r="J31" s="129">
        <v>0</v>
      </c>
      <c r="K31" s="129">
        <v>0</v>
      </c>
      <c r="L31" s="129">
        <v>0</v>
      </c>
    </row>
    <row r="32" spans="2:12" ht="3.75" customHeight="1">
      <c r="B32" s="118"/>
      <c r="C32" s="121"/>
      <c r="D32" s="122"/>
      <c r="E32" s="123"/>
      <c r="F32" s="123"/>
      <c r="G32" s="125">
        <f>SUM(G33:G34)</f>
        <v>0</v>
      </c>
      <c r="H32" s="125">
        <f>SUM(H33:H34)</f>
        <v>0</v>
      </c>
      <c r="I32" s="125">
        <f>SUM(I33:I34)</f>
        <v>0</v>
      </c>
      <c r="J32" s="125">
        <f>SUM(J33:J34)</f>
        <v>0</v>
      </c>
      <c r="K32" s="125">
        <f>SUM(K33:K34)</f>
        <v>0</v>
      </c>
      <c r="L32" s="125">
        <f>SUM(L33:L34)</f>
        <v>0</v>
      </c>
    </row>
    <row r="33" spans="2:12" ht="3.75" customHeight="1">
      <c r="B33" s="118"/>
      <c r="C33" s="120" t="s">
        <v>161</v>
      </c>
      <c r="D33" s="126"/>
      <c r="E33" s="127"/>
      <c r="F33" s="128"/>
      <c r="G33" s="129">
        <v>0</v>
      </c>
      <c r="H33" s="129">
        <v>0</v>
      </c>
      <c r="I33" s="129">
        <v>0</v>
      </c>
      <c r="J33" s="129">
        <v>0</v>
      </c>
      <c r="K33" s="129">
        <v>0</v>
      </c>
      <c r="L33" s="129">
        <v>0</v>
      </c>
    </row>
    <row r="34" spans="2:12" ht="3.75" customHeight="1">
      <c r="B34" s="118"/>
      <c r="C34" s="120" t="s">
        <v>162</v>
      </c>
      <c r="D34" s="126"/>
      <c r="E34" s="127"/>
      <c r="F34" s="128"/>
      <c r="G34" s="129">
        <v>0</v>
      </c>
      <c r="H34" s="129">
        <v>0</v>
      </c>
      <c r="I34" s="129">
        <v>0</v>
      </c>
      <c r="J34" s="129">
        <v>0</v>
      </c>
      <c r="K34" s="129">
        <v>0</v>
      </c>
      <c r="L34" s="129">
        <v>0</v>
      </c>
    </row>
    <row r="35" spans="2:12" ht="82.5" customHeight="1">
      <c r="B35" s="118"/>
      <c r="C35" s="131" t="s">
        <v>173</v>
      </c>
      <c r="D35" s="122" t="s">
        <v>168</v>
      </c>
      <c r="E35" s="123">
        <v>2011</v>
      </c>
      <c r="F35" s="124">
        <v>2012</v>
      </c>
      <c r="G35" s="125">
        <f>SUM(G36:G37)</f>
        <v>844630</v>
      </c>
      <c r="H35" s="125">
        <f>SUM(H36:H37)</f>
        <v>764630</v>
      </c>
      <c r="I35" s="125">
        <f>SUM(I36:I37)</f>
        <v>0</v>
      </c>
      <c r="J35" s="125">
        <f>SUM(J36:J37)</f>
        <v>0</v>
      </c>
      <c r="K35" s="125">
        <f>SUM(K36:K37)</f>
        <v>0</v>
      </c>
      <c r="L35" s="125">
        <f>SUM(L36:L37)</f>
        <v>0</v>
      </c>
    </row>
    <row r="36" spans="2:12" ht="13.5">
      <c r="B36" s="118"/>
      <c r="C36" s="120" t="s">
        <v>161</v>
      </c>
      <c r="D36" s="126"/>
      <c r="E36" s="127"/>
      <c r="F36" s="128"/>
      <c r="G36" s="129">
        <v>0</v>
      </c>
      <c r="H36" s="129">
        <v>0</v>
      </c>
      <c r="I36" s="129">
        <v>0</v>
      </c>
      <c r="J36" s="129">
        <v>0</v>
      </c>
      <c r="K36" s="129">
        <v>0</v>
      </c>
      <c r="L36" s="129">
        <v>0</v>
      </c>
    </row>
    <row r="37" spans="2:12" ht="13.5">
      <c r="B37" s="118"/>
      <c r="C37" s="120" t="s">
        <v>162</v>
      </c>
      <c r="D37" s="126"/>
      <c r="E37" s="127"/>
      <c r="F37" s="128"/>
      <c r="G37" s="129">
        <f>860000-15370</f>
        <v>844630</v>
      </c>
      <c r="H37" s="129">
        <f>780000-15370</f>
        <v>764630</v>
      </c>
      <c r="I37" s="129">
        <v>0</v>
      </c>
      <c r="J37" s="129">
        <v>0</v>
      </c>
      <c r="K37" s="129">
        <v>0</v>
      </c>
      <c r="L37" s="129">
        <v>0</v>
      </c>
    </row>
    <row r="38" spans="2:12" ht="103.5" customHeight="1">
      <c r="B38" s="118"/>
      <c r="C38" s="131" t="s">
        <v>174</v>
      </c>
      <c r="D38" s="122" t="s">
        <v>168</v>
      </c>
      <c r="E38" s="123">
        <v>2012</v>
      </c>
      <c r="F38" s="124">
        <v>2013</v>
      </c>
      <c r="G38" s="125">
        <f>SUM(G39:G40)</f>
        <v>606800</v>
      </c>
      <c r="H38" s="125">
        <f>SUM(H39:H40)</f>
        <v>320000</v>
      </c>
      <c r="I38" s="125">
        <f>SUM(I39:I40)</f>
        <v>286800</v>
      </c>
      <c r="J38" s="125">
        <f>SUM(J39:J40)</f>
        <v>0</v>
      </c>
      <c r="K38" s="125">
        <f>SUM(K39:K40)</f>
        <v>0</v>
      </c>
      <c r="L38" s="125">
        <f>SUM(L39:L40)</f>
        <v>0</v>
      </c>
    </row>
    <row r="39" spans="2:12" ht="13.5">
      <c r="B39" s="118"/>
      <c r="C39" s="120" t="s">
        <v>161</v>
      </c>
      <c r="D39" s="126"/>
      <c r="E39" s="127"/>
      <c r="F39" s="128"/>
      <c r="G39" s="129">
        <v>0</v>
      </c>
      <c r="H39" s="129">
        <v>0</v>
      </c>
      <c r="I39" s="129">
        <v>0</v>
      </c>
      <c r="J39" s="129">
        <v>0</v>
      </c>
      <c r="K39" s="129">
        <v>0</v>
      </c>
      <c r="L39" s="129">
        <v>0</v>
      </c>
    </row>
    <row r="40" spans="2:12" ht="13.5">
      <c r="B40" s="118"/>
      <c r="C40" s="120" t="s">
        <v>162</v>
      </c>
      <c r="D40" s="126"/>
      <c r="E40" s="127"/>
      <c r="F40" s="128"/>
      <c r="G40" s="129">
        <v>606800</v>
      </c>
      <c r="H40" s="129">
        <v>320000</v>
      </c>
      <c r="I40" s="129">
        <v>286800</v>
      </c>
      <c r="J40" s="129">
        <v>0</v>
      </c>
      <c r="K40" s="129">
        <v>0</v>
      </c>
      <c r="L40" s="129">
        <v>0</v>
      </c>
    </row>
    <row r="41" spans="2:12" ht="111.75" customHeight="1">
      <c r="B41" s="118"/>
      <c r="C41" s="121" t="s">
        <v>175</v>
      </c>
      <c r="D41" s="122" t="s">
        <v>176</v>
      </c>
      <c r="E41" s="123">
        <v>2009</v>
      </c>
      <c r="F41" s="124">
        <v>2012</v>
      </c>
      <c r="G41" s="132">
        <f>SUM(G42:G43)</f>
        <v>125325.43</v>
      </c>
      <c r="H41" s="125">
        <f>SUM(H42:H43)</f>
        <v>33375</v>
      </c>
      <c r="I41" s="125">
        <f>SUM(I42:I43)</f>
        <v>0</v>
      </c>
      <c r="J41" s="125">
        <f>SUM(J42:J43)</f>
        <v>0</v>
      </c>
      <c r="K41" s="125">
        <f>SUM(K42:K43)</f>
        <v>0</v>
      </c>
      <c r="L41" s="125">
        <f>SUM(L42:L43)</f>
        <v>0</v>
      </c>
    </row>
    <row r="42" spans="2:12" ht="13.5">
      <c r="B42" s="118"/>
      <c r="C42" s="120" t="s">
        <v>161</v>
      </c>
      <c r="D42" s="127"/>
      <c r="E42" s="127"/>
      <c r="F42" s="128"/>
      <c r="G42" s="129">
        <v>112600</v>
      </c>
      <c r="H42" s="129">
        <v>33375</v>
      </c>
      <c r="I42" s="129">
        <v>0</v>
      </c>
      <c r="J42" s="129">
        <v>0</v>
      </c>
      <c r="K42" s="129">
        <v>0</v>
      </c>
      <c r="L42" s="129">
        <v>0</v>
      </c>
    </row>
    <row r="43" spans="2:12" ht="13.5">
      <c r="B43" s="118"/>
      <c r="C43" s="120" t="s">
        <v>162</v>
      </c>
      <c r="D43" s="127"/>
      <c r="E43" s="127"/>
      <c r="F43" s="128"/>
      <c r="G43" s="133">
        <v>12725.43</v>
      </c>
      <c r="H43" s="129">
        <v>0</v>
      </c>
      <c r="I43" s="129">
        <v>0</v>
      </c>
      <c r="J43" s="129">
        <v>0</v>
      </c>
      <c r="K43" s="129">
        <v>0</v>
      </c>
      <c r="L43" s="129">
        <v>0</v>
      </c>
    </row>
    <row r="44" spans="2:12" ht="93.75" customHeight="1">
      <c r="B44" s="118"/>
      <c r="C44" s="121" t="s">
        <v>177</v>
      </c>
      <c r="D44" s="122" t="s">
        <v>178</v>
      </c>
      <c r="E44" s="123">
        <v>2010</v>
      </c>
      <c r="F44" s="124">
        <v>2012</v>
      </c>
      <c r="G44" s="125">
        <f>SUM(G45:G46)</f>
        <v>718720</v>
      </c>
      <c r="H44" s="125">
        <f>SUM(H45:H46)</f>
        <v>221440</v>
      </c>
      <c r="I44" s="125">
        <f>SUM(I45:I46)</f>
        <v>0</v>
      </c>
      <c r="J44" s="125">
        <f>SUM(J45:J46)</f>
        <v>0</v>
      </c>
      <c r="K44" s="125">
        <f>SUM(K45:K46)</f>
        <v>0</v>
      </c>
      <c r="L44" s="125">
        <f>SUM(L45:L46)</f>
        <v>0</v>
      </c>
    </row>
    <row r="45" spans="2:12" ht="13.5">
      <c r="B45" s="118"/>
      <c r="C45" s="120" t="s">
        <v>161</v>
      </c>
      <c r="D45" s="134"/>
      <c r="E45" s="127"/>
      <c r="F45" s="128"/>
      <c r="G45" s="129">
        <v>718720</v>
      </c>
      <c r="H45" s="129">
        <v>221440</v>
      </c>
      <c r="I45" s="129">
        <v>0</v>
      </c>
      <c r="J45" s="129">
        <v>0</v>
      </c>
      <c r="K45" s="129">
        <v>0</v>
      </c>
      <c r="L45" s="129">
        <v>0</v>
      </c>
    </row>
    <row r="46" spans="2:12" ht="13.5" customHeight="1">
      <c r="B46" s="118"/>
      <c r="C46" s="120" t="s">
        <v>162</v>
      </c>
      <c r="D46" s="134"/>
      <c r="E46" s="127"/>
      <c r="F46" s="128"/>
      <c r="G46" s="129">
        <v>0</v>
      </c>
      <c r="H46" s="129">
        <v>0</v>
      </c>
      <c r="I46" s="129">
        <v>0</v>
      </c>
      <c r="J46" s="129">
        <v>0</v>
      </c>
      <c r="K46" s="129">
        <v>0</v>
      </c>
      <c r="L46" s="129">
        <v>0</v>
      </c>
    </row>
    <row r="47" spans="2:12" ht="78.75" customHeight="1">
      <c r="B47" s="118"/>
      <c r="C47" s="121" t="s">
        <v>179</v>
      </c>
      <c r="D47" s="122" t="s">
        <v>180</v>
      </c>
      <c r="E47" s="123">
        <v>2010</v>
      </c>
      <c r="F47" s="124">
        <v>2013</v>
      </c>
      <c r="G47" s="125">
        <f>SUM(G48:G49)</f>
        <v>164260</v>
      </c>
      <c r="H47" s="125">
        <f>SUM(H48:H49)</f>
        <v>26020</v>
      </c>
      <c r="I47" s="125">
        <f>SUM(I48:I49)</f>
        <v>15620</v>
      </c>
      <c r="J47" s="125">
        <f>SUM(J48:J49)</f>
        <v>0</v>
      </c>
      <c r="K47" s="125">
        <f>SUM(K48:K49)</f>
        <v>0</v>
      </c>
      <c r="L47" s="125">
        <f>SUM(L48:L49)</f>
        <v>0</v>
      </c>
    </row>
    <row r="48" spans="2:12" ht="14.25" customHeight="1">
      <c r="B48" s="118"/>
      <c r="C48" s="120" t="s">
        <v>161</v>
      </c>
      <c r="D48" s="127"/>
      <c r="E48" s="127"/>
      <c r="F48" s="128"/>
      <c r="G48" s="129">
        <v>164260</v>
      </c>
      <c r="H48" s="129">
        <v>26020</v>
      </c>
      <c r="I48" s="129">
        <v>15620</v>
      </c>
      <c r="J48" s="129">
        <v>0</v>
      </c>
      <c r="K48" s="129">
        <v>0</v>
      </c>
      <c r="L48" s="129">
        <v>0</v>
      </c>
    </row>
    <row r="49" spans="2:12" ht="12" customHeight="1">
      <c r="B49" s="118"/>
      <c r="C49" s="120" t="s">
        <v>162</v>
      </c>
      <c r="D49" s="127"/>
      <c r="E49" s="127"/>
      <c r="F49" s="128"/>
      <c r="G49" s="129">
        <v>0</v>
      </c>
      <c r="H49" s="129">
        <v>0</v>
      </c>
      <c r="I49" s="129">
        <v>0</v>
      </c>
      <c r="J49" s="129">
        <v>0</v>
      </c>
      <c r="K49" s="129">
        <v>0</v>
      </c>
      <c r="L49" s="129">
        <v>0</v>
      </c>
    </row>
    <row r="50" spans="2:12" ht="78.75" customHeight="1">
      <c r="B50" s="118"/>
      <c r="C50" s="121" t="s">
        <v>181</v>
      </c>
      <c r="D50" s="122" t="s">
        <v>176</v>
      </c>
      <c r="E50" s="123">
        <v>2010</v>
      </c>
      <c r="F50" s="124">
        <v>2013</v>
      </c>
      <c r="G50" s="125">
        <f>SUM(G51:G52)</f>
        <v>120000</v>
      </c>
      <c r="H50" s="125">
        <f>SUM(H51:H52)</f>
        <v>20000</v>
      </c>
      <c r="I50" s="125">
        <f>SUM(I51:I52)</f>
        <v>40000</v>
      </c>
      <c r="J50" s="125">
        <f>SUM(J51:J52)</f>
        <v>30000</v>
      </c>
      <c r="K50" s="125">
        <f>SUM(K51:K52)</f>
        <v>0</v>
      </c>
      <c r="L50" s="125">
        <f>SUM(L51:L52)</f>
        <v>0</v>
      </c>
    </row>
    <row r="51" spans="2:12" ht="14.25" customHeight="1">
      <c r="B51" s="118"/>
      <c r="C51" s="120" t="s">
        <v>161</v>
      </c>
      <c r="D51" s="127"/>
      <c r="E51" s="127"/>
      <c r="F51" s="128"/>
      <c r="G51" s="129">
        <v>120000</v>
      </c>
      <c r="H51" s="129">
        <v>20000</v>
      </c>
      <c r="I51" s="129">
        <v>40000</v>
      </c>
      <c r="J51" s="129">
        <v>30000</v>
      </c>
      <c r="K51" s="129">
        <v>0</v>
      </c>
      <c r="L51" s="129">
        <v>0</v>
      </c>
    </row>
    <row r="52" spans="2:12" ht="12" customHeight="1">
      <c r="B52" s="118"/>
      <c r="C52" s="120" t="s">
        <v>162</v>
      </c>
      <c r="D52" s="127"/>
      <c r="E52" s="127"/>
      <c r="F52" s="128"/>
      <c r="G52" s="129">
        <v>0</v>
      </c>
      <c r="H52" s="129">
        <v>0</v>
      </c>
      <c r="I52" s="129">
        <v>0</v>
      </c>
      <c r="J52" s="129">
        <v>0</v>
      </c>
      <c r="K52" s="129">
        <v>0</v>
      </c>
      <c r="L52" s="129">
        <v>0</v>
      </c>
    </row>
    <row r="53" spans="2:12" ht="78.75" customHeight="1">
      <c r="B53" s="118"/>
      <c r="C53" s="121" t="s">
        <v>182</v>
      </c>
      <c r="D53" s="122" t="s">
        <v>176</v>
      </c>
      <c r="E53" s="123">
        <v>2010</v>
      </c>
      <c r="F53" s="124">
        <v>2012</v>
      </c>
      <c r="G53" s="125">
        <f>SUM(G54:G55)</f>
        <v>46253.32</v>
      </c>
      <c r="H53" s="125">
        <f>SUM(H54:H55)</f>
        <v>7200</v>
      </c>
      <c r="I53" s="125">
        <f>SUM(I54:I55)</f>
        <v>0</v>
      </c>
      <c r="J53" s="125">
        <f>SUM(J54:J55)</f>
        <v>0</v>
      </c>
      <c r="K53" s="125">
        <f>SUM(K54:K55)</f>
        <v>0</v>
      </c>
      <c r="L53" s="125">
        <f>SUM(L54:L55)</f>
        <v>0</v>
      </c>
    </row>
    <row r="54" spans="2:12" ht="14.25" customHeight="1">
      <c r="B54" s="118"/>
      <c r="C54" s="120" t="s">
        <v>161</v>
      </c>
      <c r="D54" s="127"/>
      <c r="E54" s="127"/>
      <c r="F54" s="128"/>
      <c r="G54" s="129">
        <f>44353.32+1900</f>
        <v>46253.32</v>
      </c>
      <c r="H54" s="129">
        <f>5300+1900</f>
        <v>7200</v>
      </c>
      <c r="I54" s="129">
        <v>0</v>
      </c>
      <c r="J54" s="129">
        <v>0</v>
      </c>
      <c r="K54" s="129">
        <v>0</v>
      </c>
      <c r="L54" s="129">
        <v>0</v>
      </c>
    </row>
    <row r="55" spans="2:12" ht="12" customHeight="1">
      <c r="B55" s="118"/>
      <c r="C55" s="120" t="s">
        <v>162</v>
      </c>
      <c r="D55" s="127"/>
      <c r="E55" s="127"/>
      <c r="F55" s="128"/>
      <c r="G55" s="129">
        <v>0</v>
      </c>
      <c r="H55" s="129">
        <v>0</v>
      </c>
      <c r="I55" s="129">
        <v>0</v>
      </c>
      <c r="J55" s="129">
        <v>0</v>
      </c>
      <c r="K55" s="129">
        <v>0</v>
      </c>
      <c r="L55" s="129">
        <v>0</v>
      </c>
    </row>
    <row r="56" spans="2:12" ht="32.25" customHeight="1">
      <c r="B56" s="135"/>
      <c r="C56" s="119" t="s">
        <v>183</v>
      </c>
      <c r="D56" s="119"/>
      <c r="E56" s="119"/>
      <c r="F56" s="119"/>
      <c r="G56" s="125">
        <f>SUM(G57:G58)</f>
        <v>0</v>
      </c>
      <c r="H56" s="125">
        <f>SUM(H57:H58)</f>
        <v>0</v>
      </c>
      <c r="I56" s="125">
        <f>SUM(I57:I58)</f>
        <v>0</v>
      </c>
      <c r="J56" s="125">
        <f>SUM(J57:J58)</f>
        <v>0</v>
      </c>
      <c r="K56" s="125">
        <f>SUM(K57:K58)</f>
        <v>0</v>
      </c>
      <c r="L56" s="125">
        <f>SUM(L57:L58)</f>
        <v>0</v>
      </c>
    </row>
    <row r="57" spans="2:12" ht="13.5" customHeight="1">
      <c r="B57" s="135"/>
      <c r="C57" s="120" t="s">
        <v>161</v>
      </c>
      <c r="D57" s="120"/>
      <c r="E57" s="120"/>
      <c r="F57" s="120"/>
      <c r="G57" s="129">
        <v>0</v>
      </c>
      <c r="H57" s="129">
        <v>0</v>
      </c>
      <c r="I57" s="129">
        <v>0</v>
      </c>
      <c r="J57" s="129">
        <v>0</v>
      </c>
      <c r="K57" s="129">
        <v>0</v>
      </c>
      <c r="L57" s="129">
        <v>0</v>
      </c>
    </row>
    <row r="58" spans="2:12" ht="13.5" customHeight="1">
      <c r="B58" s="135"/>
      <c r="C58" s="120" t="s">
        <v>162</v>
      </c>
      <c r="D58" s="120"/>
      <c r="E58" s="120"/>
      <c r="F58" s="120"/>
      <c r="G58" s="129">
        <v>0</v>
      </c>
      <c r="H58" s="129">
        <v>0</v>
      </c>
      <c r="I58" s="129">
        <v>0</v>
      </c>
      <c r="J58" s="129">
        <v>0</v>
      </c>
      <c r="K58" s="129">
        <v>0</v>
      </c>
      <c r="L58" s="129">
        <v>0</v>
      </c>
    </row>
    <row r="59" spans="2:12" ht="29.25" customHeight="1">
      <c r="B59" s="135"/>
      <c r="C59" s="136" t="s">
        <v>184</v>
      </c>
      <c r="D59" s="136"/>
      <c r="E59" s="136"/>
      <c r="F59" s="136"/>
      <c r="G59" s="125">
        <f>SUM(G60:G61)</f>
        <v>8250000</v>
      </c>
      <c r="H59" s="125">
        <f>SUM(H60:H61)</f>
        <v>183573</v>
      </c>
      <c r="I59" s="125">
        <f>SUM(I60:I61)</f>
        <v>3626427</v>
      </c>
      <c r="J59" s="125">
        <f>SUM(J60:J61)</f>
        <v>1500000</v>
      </c>
      <c r="K59" s="125">
        <f>SUM(K60:K61)</f>
        <v>1500000</v>
      </c>
      <c r="L59" s="125">
        <f>SUM(L60:L61)</f>
        <v>0</v>
      </c>
    </row>
    <row r="60" spans="2:12" ht="13.5">
      <c r="B60" s="135"/>
      <c r="C60" s="120" t="s">
        <v>161</v>
      </c>
      <c r="D60" s="120"/>
      <c r="E60" s="120"/>
      <c r="F60" s="120"/>
      <c r="G60" s="125">
        <f>SUM(G63,G66,G69,G72)</f>
        <v>0</v>
      </c>
      <c r="H60" s="125">
        <f>SUM(H63,H66,H69,H72)</f>
        <v>0</v>
      </c>
      <c r="I60" s="125">
        <f>SUM(I63,I66,I69,I72)</f>
        <v>0</v>
      </c>
      <c r="J60" s="125">
        <f>SUM(J63,J66,J69,J72)</f>
        <v>0</v>
      </c>
      <c r="K60" s="125">
        <f>SUM(K63,K66,K69,K72)</f>
        <v>0</v>
      </c>
      <c r="L60" s="125">
        <f>SUM(L63,L66,L69,L72)</f>
        <v>0</v>
      </c>
    </row>
    <row r="61" spans="2:12" ht="13.5">
      <c r="B61" s="135"/>
      <c r="C61" s="120" t="s">
        <v>162</v>
      </c>
      <c r="D61" s="120"/>
      <c r="E61" s="120"/>
      <c r="F61" s="120"/>
      <c r="G61" s="125">
        <f>SUM(G64,G67,G70,G73)</f>
        <v>8250000</v>
      </c>
      <c r="H61" s="125">
        <f>SUM(H64,H67,H70,H73)</f>
        <v>183573</v>
      </c>
      <c r="I61" s="125">
        <f>SUM(I64,I67,I70,I73)</f>
        <v>3626427</v>
      </c>
      <c r="J61" s="125">
        <f>SUM(J64,J67,J70,J73)</f>
        <v>1500000</v>
      </c>
      <c r="K61" s="125">
        <f>SUM(K64,K67,K70,K73)</f>
        <v>1500000</v>
      </c>
      <c r="L61" s="125">
        <f>SUM(L64,L67,L70,L73)</f>
        <v>0</v>
      </c>
    </row>
    <row r="62" spans="2:12" s="117" customFormat="1" ht="68.25">
      <c r="B62" s="137"/>
      <c r="C62" s="121" t="s">
        <v>185</v>
      </c>
      <c r="D62" s="122" t="s">
        <v>168</v>
      </c>
      <c r="E62" s="123">
        <v>2011</v>
      </c>
      <c r="F62" s="124">
        <v>2015</v>
      </c>
      <c r="G62" s="125">
        <f>SUM(G63:G64)</f>
        <v>6800000</v>
      </c>
      <c r="H62" s="125">
        <f>SUM(H63:H64)</f>
        <v>100000</v>
      </c>
      <c r="I62" s="125">
        <f>SUM(I63:I64)</f>
        <v>2290000</v>
      </c>
      <c r="J62" s="125">
        <f>SUM(J63:J64)</f>
        <v>1500000</v>
      </c>
      <c r="K62" s="125">
        <f>SUM(K63:K64)</f>
        <v>1500000</v>
      </c>
      <c r="L62" s="125">
        <f>SUM(L63:L64)</f>
        <v>0</v>
      </c>
    </row>
    <row r="63" spans="2:12" s="117" customFormat="1" ht="13.5">
      <c r="B63" s="137"/>
      <c r="C63" s="120" t="s">
        <v>161</v>
      </c>
      <c r="D63" s="138"/>
      <c r="E63" s="139"/>
      <c r="F63" s="128"/>
      <c r="G63" s="129">
        <v>0</v>
      </c>
      <c r="H63" s="129">
        <v>0</v>
      </c>
      <c r="I63" s="129">
        <v>0</v>
      </c>
      <c r="J63" s="129">
        <v>0</v>
      </c>
      <c r="K63" s="129">
        <v>0</v>
      </c>
      <c r="L63" s="129">
        <v>0</v>
      </c>
    </row>
    <row r="64" spans="2:12" ht="13.5">
      <c r="B64" s="135"/>
      <c r="C64" s="120" t="s">
        <v>162</v>
      </c>
      <c r="D64" s="138"/>
      <c r="E64" s="139"/>
      <c r="F64" s="128"/>
      <c r="G64" s="129">
        <f>7000000-1100000+900000</f>
        <v>6800000</v>
      </c>
      <c r="H64" s="129">
        <f>1000000-900000</f>
        <v>100000</v>
      </c>
      <c r="I64" s="129">
        <f>1440000-200000+150000+900000</f>
        <v>2290000</v>
      </c>
      <c r="J64" s="129">
        <v>1500000</v>
      </c>
      <c r="K64" s="129">
        <v>1500000</v>
      </c>
      <c r="L64" s="129">
        <v>0</v>
      </c>
    </row>
    <row r="65" spans="2:12" ht="74.25" customHeight="1">
      <c r="B65" s="118"/>
      <c r="C65" s="131" t="s">
        <v>186</v>
      </c>
      <c r="D65" s="122" t="s">
        <v>168</v>
      </c>
      <c r="E65" s="123">
        <v>2011</v>
      </c>
      <c r="F65" s="124">
        <v>2013</v>
      </c>
      <c r="G65" s="125">
        <f>SUM(G66:G67)</f>
        <v>1450000</v>
      </c>
      <c r="H65" s="125">
        <f>SUM(H66:H67)</f>
        <v>83573</v>
      </c>
      <c r="I65" s="125">
        <f>SUM(I66:I67)</f>
        <v>1336427</v>
      </c>
      <c r="J65" s="125">
        <f>SUM(J66:J67)</f>
        <v>0</v>
      </c>
      <c r="K65" s="125">
        <f>SUM(K66:K67)</f>
        <v>0</v>
      </c>
      <c r="L65" s="125">
        <f>SUM(L66:L67)</f>
        <v>0</v>
      </c>
    </row>
    <row r="66" spans="2:12" ht="13.5">
      <c r="B66" s="118"/>
      <c r="C66" s="120" t="s">
        <v>161</v>
      </c>
      <c r="D66" s="126"/>
      <c r="E66" s="127"/>
      <c r="F66" s="128"/>
      <c r="G66" s="129">
        <v>0</v>
      </c>
      <c r="H66" s="129">
        <v>0</v>
      </c>
      <c r="I66" s="129">
        <v>0</v>
      </c>
      <c r="J66" s="129">
        <v>0</v>
      </c>
      <c r="K66" s="129">
        <v>0</v>
      </c>
      <c r="L66" s="129">
        <v>0</v>
      </c>
    </row>
    <row r="67" spans="2:12" ht="13.5">
      <c r="B67" s="118"/>
      <c r="C67" s="120" t="s">
        <v>162</v>
      </c>
      <c r="D67" s="126"/>
      <c r="E67" s="127"/>
      <c r="F67" s="128"/>
      <c r="G67" s="129">
        <v>1450000</v>
      </c>
      <c r="H67" s="129">
        <f>670000-586427</f>
        <v>83573</v>
      </c>
      <c r="I67" s="129">
        <f>750000+586427</f>
        <v>1336427</v>
      </c>
      <c r="J67" s="129">
        <v>0</v>
      </c>
      <c r="K67" s="129">
        <v>0</v>
      </c>
      <c r="L67" s="129">
        <v>0</v>
      </c>
    </row>
    <row r="68" spans="2:12" ht="13.5">
      <c r="B68" s="135"/>
      <c r="C68" s="131"/>
      <c r="D68" s="122"/>
      <c r="E68" s="123"/>
      <c r="F68" s="124"/>
      <c r="G68" s="140">
        <f>SUM(G69:G70)</f>
        <v>0</v>
      </c>
      <c r="H68" s="140">
        <f>SUM(H69:H70)</f>
        <v>0</v>
      </c>
      <c r="I68" s="140">
        <f>SUM(I69:I70)</f>
        <v>0</v>
      </c>
      <c r="J68" s="140">
        <f>SUM(J69:J70)</f>
        <v>0</v>
      </c>
      <c r="K68" s="140">
        <f>SUM(K69:K70)</f>
        <v>0</v>
      </c>
      <c r="L68" s="140">
        <f>SUM(L69:L70)</f>
        <v>0</v>
      </c>
    </row>
    <row r="69" spans="2:12" ht="13.5">
      <c r="B69" s="135"/>
      <c r="C69" s="120" t="s">
        <v>161</v>
      </c>
      <c r="D69" s="120"/>
      <c r="E69" s="120"/>
      <c r="F69" s="120"/>
      <c r="G69" s="129">
        <v>0</v>
      </c>
      <c r="H69" s="129">
        <v>0</v>
      </c>
      <c r="I69" s="129">
        <v>0</v>
      </c>
      <c r="J69" s="129">
        <v>0</v>
      </c>
      <c r="K69" s="129">
        <v>0</v>
      </c>
      <c r="L69" s="129">
        <v>0</v>
      </c>
    </row>
    <row r="70" spans="2:12" ht="13.5">
      <c r="B70" s="135"/>
      <c r="C70" s="120" t="s">
        <v>162</v>
      </c>
      <c r="D70" s="120"/>
      <c r="E70" s="120"/>
      <c r="F70" s="120"/>
      <c r="G70" s="129"/>
      <c r="H70" s="129"/>
      <c r="I70" s="129"/>
      <c r="J70" s="129">
        <v>0</v>
      </c>
      <c r="K70" s="129">
        <v>0</v>
      </c>
      <c r="L70" s="129">
        <v>0</v>
      </c>
    </row>
    <row r="71" spans="2:12" ht="2.25" customHeight="1">
      <c r="B71" s="135"/>
      <c r="C71" s="131"/>
      <c r="D71" s="122"/>
      <c r="E71" s="123">
        <v>0</v>
      </c>
      <c r="F71" s="124">
        <v>0</v>
      </c>
      <c r="G71" s="140">
        <f>SUM(G72:G73)</f>
        <v>0</v>
      </c>
      <c r="H71" s="140">
        <f>SUM(H72:H73)</f>
        <v>0</v>
      </c>
      <c r="I71" s="140">
        <f>SUM(I72:I73)</f>
        <v>0</v>
      </c>
      <c r="J71" s="140">
        <f>SUM(J72:J73)</f>
        <v>0</v>
      </c>
      <c r="K71" s="140">
        <f>SUM(K72:K73)</f>
        <v>0</v>
      </c>
      <c r="L71" s="140">
        <f>SUM(L72:L73)</f>
        <v>0</v>
      </c>
    </row>
    <row r="72" spans="2:12" ht="2.25" customHeight="1">
      <c r="B72" s="135"/>
      <c r="C72" s="120" t="s">
        <v>161</v>
      </c>
      <c r="D72" s="120"/>
      <c r="E72" s="120"/>
      <c r="F72" s="120"/>
      <c r="G72" s="129">
        <v>0</v>
      </c>
      <c r="H72" s="129">
        <v>0</v>
      </c>
      <c r="I72" s="129">
        <v>0</v>
      </c>
      <c r="J72" s="129">
        <v>0</v>
      </c>
      <c r="K72" s="129">
        <v>0</v>
      </c>
      <c r="L72" s="129">
        <v>0</v>
      </c>
    </row>
    <row r="73" spans="2:12" ht="2.25" customHeight="1">
      <c r="B73" s="135"/>
      <c r="C73" s="120" t="s">
        <v>162</v>
      </c>
      <c r="D73" s="120"/>
      <c r="E73" s="120"/>
      <c r="F73" s="120"/>
      <c r="G73" s="129">
        <v>0</v>
      </c>
      <c r="H73" s="129">
        <v>0</v>
      </c>
      <c r="I73" s="129">
        <v>0</v>
      </c>
      <c r="J73" s="129">
        <v>0</v>
      </c>
      <c r="K73" s="129">
        <v>0</v>
      </c>
      <c r="L73" s="129">
        <v>0</v>
      </c>
    </row>
    <row r="74" spans="2:12" ht="43.5" customHeight="1">
      <c r="B74" s="135"/>
      <c r="C74" s="136" t="s">
        <v>187</v>
      </c>
      <c r="D74" s="136"/>
      <c r="E74" s="136"/>
      <c r="F74" s="136"/>
      <c r="G74" s="125">
        <f>SUM(G75:G76)</f>
        <v>0</v>
      </c>
      <c r="H74" s="125">
        <f>SUM(H75:H76)</f>
        <v>0</v>
      </c>
      <c r="I74" s="125">
        <f>SUM(I75:I76)</f>
        <v>0</v>
      </c>
      <c r="J74" s="125">
        <f>SUM(J75:J76)</f>
        <v>0</v>
      </c>
      <c r="K74" s="125">
        <f>SUM(K75:K76)</f>
        <v>0</v>
      </c>
      <c r="L74" s="125">
        <f>SUM(L75:L76)</f>
        <v>0</v>
      </c>
    </row>
    <row r="75" spans="2:12" ht="13.5">
      <c r="B75" s="135"/>
      <c r="C75" s="120" t="s">
        <v>161</v>
      </c>
      <c r="D75" s="120"/>
      <c r="E75" s="120"/>
      <c r="F75" s="120"/>
      <c r="G75" s="130">
        <v>0</v>
      </c>
      <c r="H75" s="130">
        <v>0</v>
      </c>
      <c r="I75" s="130">
        <v>0</v>
      </c>
      <c r="J75" s="130">
        <f>SUM(J80)</f>
        <v>0</v>
      </c>
      <c r="K75" s="130">
        <f>SUM(K80)</f>
        <v>0</v>
      </c>
      <c r="L75" s="130">
        <f>SUM(L80)</f>
        <v>0</v>
      </c>
    </row>
    <row r="76" spans="2:12" ht="13.5">
      <c r="B76" s="135"/>
      <c r="C76" s="120" t="s">
        <v>162</v>
      </c>
      <c r="D76" s="120"/>
      <c r="E76" s="120"/>
      <c r="F76" s="120"/>
      <c r="G76" s="130">
        <f>SUM(G83)</f>
        <v>0</v>
      </c>
      <c r="H76" s="130">
        <f>SUM(H83)</f>
        <v>0</v>
      </c>
      <c r="I76" s="130">
        <f>SUM(I83)</f>
        <v>0</v>
      </c>
      <c r="J76" s="130">
        <f>SUM(J83)</f>
        <v>0</v>
      </c>
      <c r="K76" s="130">
        <f>SUM(K83)</f>
        <v>0</v>
      </c>
      <c r="L76" s="130">
        <f>SUM(L83)</f>
        <v>0</v>
      </c>
    </row>
    <row r="77" spans="2:12" ht="25.5" customHeight="1">
      <c r="B77" s="135"/>
      <c r="C77" s="136" t="s">
        <v>188</v>
      </c>
      <c r="D77" s="136"/>
      <c r="E77" s="136"/>
      <c r="F77" s="136"/>
      <c r="G77" s="125">
        <f>SUM(G78)</f>
        <v>700000</v>
      </c>
      <c r="H77" s="125">
        <f>SUM(H78)</f>
        <v>1192000</v>
      </c>
      <c r="I77" s="125">
        <f>SUM(I78)</f>
        <v>1000000</v>
      </c>
      <c r="J77" s="125">
        <f>SUM(J78)</f>
        <v>0</v>
      </c>
      <c r="K77" s="125">
        <f>SUM(K78)</f>
        <v>0</v>
      </c>
      <c r="L77" s="125">
        <f>SUM(L78)</f>
        <v>0</v>
      </c>
    </row>
    <row r="78" spans="2:12" ht="13.5">
      <c r="B78" s="135"/>
      <c r="C78" s="120" t="s">
        <v>161</v>
      </c>
      <c r="D78" s="120"/>
      <c r="E78" s="120"/>
      <c r="F78" s="120"/>
      <c r="G78" s="125">
        <f>SUM(G79)</f>
        <v>700000</v>
      </c>
      <c r="H78" s="125">
        <f>SUM(H79,H81)</f>
        <v>1192000</v>
      </c>
      <c r="I78" s="125">
        <f>SUM(I79,I81)</f>
        <v>1000000</v>
      </c>
      <c r="J78" s="125">
        <f>SUM(J79)</f>
        <v>0</v>
      </c>
      <c r="K78" s="125">
        <f>SUM(K79)</f>
        <v>0</v>
      </c>
      <c r="L78" s="125">
        <f>SUM(L79)</f>
        <v>0</v>
      </c>
    </row>
    <row r="79" spans="2:12" s="117" customFormat="1" ht="106.5">
      <c r="B79" s="137"/>
      <c r="C79" s="121" t="s">
        <v>189</v>
      </c>
      <c r="D79" s="122" t="s">
        <v>176</v>
      </c>
      <c r="E79" s="123">
        <v>2008</v>
      </c>
      <c r="F79" s="124">
        <v>2012</v>
      </c>
      <c r="G79" s="125">
        <f>SUM(G80:G80)</f>
        <v>700000</v>
      </c>
      <c r="H79" s="125">
        <f>SUM(H80:H80)</f>
        <v>192000</v>
      </c>
      <c r="I79" s="125">
        <f>SUM(I80:I80)</f>
        <v>0</v>
      </c>
      <c r="J79" s="125">
        <f>SUM(J80:J80)</f>
        <v>0</v>
      </c>
      <c r="K79" s="125">
        <f>SUM(K80:K80)</f>
        <v>0</v>
      </c>
      <c r="L79" s="125">
        <f>SUM(L80:L80)</f>
        <v>0</v>
      </c>
    </row>
    <row r="80" spans="2:12" s="117" customFormat="1" ht="13.5">
      <c r="B80" s="137"/>
      <c r="C80" s="120" t="s">
        <v>161</v>
      </c>
      <c r="D80" s="139"/>
      <c r="E80" s="139"/>
      <c r="F80" s="128"/>
      <c r="G80" s="129">
        <v>700000</v>
      </c>
      <c r="H80" s="129">
        <v>192000</v>
      </c>
      <c r="I80" s="129">
        <v>0</v>
      </c>
      <c r="J80" s="129">
        <v>0</v>
      </c>
      <c r="K80" s="129">
        <v>0</v>
      </c>
      <c r="L80" s="129">
        <v>0</v>
      </c>
    </row>
    <row r="81" spans="2:12" s="117" customFormat="1" ht="106.5">
      <c r="B81" s="137"/>
      <c r="C81" s="121" t="s">
        <v>190</v>
      </c>
      <c r="D81" s="122" t="s">
        <v>176</v>
      </c>
      <c r="E81" s="123">
        <v>2008</v>
      </c>
      <c r="F81" s="124">
        <v>2012</v>
      </c>
      <c r="G81" s="125">
        <f>SUM(G82:G82)</f>
        <v>0</v>
      </c>
      <c r="H81" s="125">
        <f>SUM(H82:H82)</f>
        <v>1000000</v>
      </c>
      <c r="I81" s="125">
        <f>SUM(I82:I82)</f>
        <v>1000000</v>
      </c>
      <c r="J81" s="125">
        <f>SUM(J82:J82)</f>
        <v>0</v>
      </c>
      <c r="K81" s="125">
        <f>SUM(K82:K82)</f>
        <v>0</v>
      </c>
      <c r="L81" s="125">
        <f>SUM(L82:L82)</f>
        <v>0</v>
      </c>
    </row>
    <row r="82" spans="2:12" s="117" customFormat="1" ht="13.5">
      <c r="B82" s="137"/>
      <c r="C82" s="120" t="s">
        <v>161</v>
      </c>
      <c r="D82" s="139"/>
      <c r="E82" s="139"/>
      <c r="F82" s="128"/>
      <c r="G82" s="129">
        <v>0</v>
      </c>
      <c r="H82" s="129">
        <v>1000000</v>
      </c>
      <c r="I82" s="129">
        <v>1000000</v>
      </c>
      <c r="J82" s="129">
        <v>0</v>
      </c>
      <c r="K82" s="129">
        <v>0</v>
      </c>
      <c r="L82" s="129">
        <v>0</v>
      </c>
    </row>
    <row r="83" ht="12.75">
      <c r="C83" t="s">
        <v>53</v>
      </c>
    </row>
    <row r="84" spans="8:11" ht="12.75">
      <c r="H84" s="38"/>
      <c r="I84" s="38"/>
      <c r="J84" s="38"/>
      <c r="K84" s="38"/>
    </row>
    <row r="85" spans="8:11" ht="12.75">
      <c r="H85" s="38"/>
      <c r="I85" s="38"/>
      <c r="J85" s="38"/>
      <c r="K85" s="38"/>
    </row>
  </sheetData>
  <sheetProtection selectLockedCells="1" selectUnlockedCells="1"/>
  <mergeCells count="37">
    <mergeCell ref="J1:L1"/>
    <mergeCell ref="J2:L2"/>
    <mergeCell ref="C3:L3"/>
    <mergeCell ref="B5:B6"/>
    <mergeCell ref="C5:C6"/>
    <mergeCell ref="D5:D6"/>
    <mergeCell ref="E5:F5"/>
    <mergeCell ref="G5:G6"/>
    <mergeCell ref="H5:K5"/>
    <mergeCell ref="L5:L6"/>
    <mergeCell ref="C8:F8"/>
    <mergeCell ref="C9:F9"/>
    <mergeCell ref="C10:F10"/>
    <mergeCell ref="M10:P10"/>
    <mergeCell ref="C11:F11"/>
    <mergeCell ref="C12:F12"/>
    <mergeCell ref="C13:F13"/>
    <mergeCell ref="C14:F14"/>
    <mergeCell ref="C15:F15"/>
    <mergeCell ref="C16:F16"/>
    <mergeCell ref="C56:F56"/>
    <mergeCell ref="C57:F57"/>
    <mergeCell ref="C58:F58"/>
    <mergeCell ref="C59:F59"/>
    <mergeCell ref="C60:F60"/>
    <mergeCell ref="C61:F61"/>
    <mergeCell ref="C69:F69"/>
    <mergeCell ref="C70:F70"/>
    <mergeCell ref="C72:F72"/>
    <mergeCell ref="C73:F73"/>
    <mergeCell ref="C74:F74"/>
    <mergeCell ref="C75:F75"/>
    <mergeCell ref="C76:F76"/>
    <mergeCell ref="C77:F77"/>
    <mergeCell ref="C78:F78"/>
    <mergeCell ref="H84:J84"/>
    <mergeCell ref="H85:J85"/>
  </mergeCells>
  <printOptions/>
  <pageMargins left="0.39375" right="0.2361111111111111" top="0.39375" bottom="0.2361111111111111" header="0.5118055555555555" footer="0.5118055555555555"/>
  <pageSetup horizontalDpi="300" verticalDpi="300" orientation="portrait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F38" sqref="F38"/>
    </sheetView>
  </sheetViews>
  <sheetFormatPr defaultColWidth="12.57421875" defaultRowHeight="12.75"/>
  <cols>
    <col min="1" max="1" width="3.7109375" style="0" customWidth="1"/>
    <col min="2" max="3" width="11.57421875" style="0" customWidth="1"/>
    <col min="4" max="4" width="14.00390625" style="0" customWidth="1"/>
    <col min="5" max="5" width="13.8515625" style="0" customWidth="1"/>
    <col min="6" max="6" width="16.8515625" style="0" customWidth="1"/>
    <col min="7" max="7" width="9.140625" style="0" customWidth="1"/>
    <col min="8" max="16384" width="11.57421875" style="0" customWidth="1"/>
  </cols>
  <sheetData>
    <row r="1" spans="1:7" ht="12" customHeight="1">
      <c r="A1" s="141" t="s">
        <v>191</v>
      </c>
      <c r="B1" s="141"/>
      <c r="C1" s="141"/>
      <c r="D1" s="141"/>
      <c r="E1" s="141"/>
      <c r="F1" s="141"/>
      <c r="G1" s="141"/>
    </row>
    <row r="2" spans="1:7" ht="12" customHeight="1">
      <c r="A2" s="141" t="s">
        <v>192</v>
      </c>
      <c r="B2" s="141"/>
      <c r="C2" s="141"/>
      <c r="D2" s="141"/>
      <c r="E2" s="141"/>
      <c r="F2" s="141"/>
      <c r="G2" s="141"/>
    </row>
    <row r="3" spans="1:7" ht="12" customHeight="1">
      <c r="A3" s="141" t="s">
        <v>193</v>
      </c>
      <c r="B3" s="141"/>
      <c r="C3" s="141"/>
      <c r="D3" s="141"/>
      <c r="E3" s="141"/>
      <c r="F3" s="141"/>
      <c r="G3" s="141"/>
    </row>
    <row r="5" spans="2:7" ht="24.75" customHeight="1">
      <c r="B5" s="142" t="s">
        <v>194</v>
      </c>
      <c r="C5" s="142"/>
      <c r="D5" s="142"/>
      <c r="E5" s="142"/>
      <c r="F5" s="142"/>
      <c r="G5" s="142"/>
    </row>
    <row r="7" spans="2:7" ht="61.5" customHeight="1">
      <c r="B7" s="143" t="s">
        <v>195</v>
      </c>
      <c r="C7" s="143"/>
      <c r="D7" s="143"/>
      <c r="E7" s="143"/>
      <c r="F7" s="143"/>
      <c r="G7" s="143"/>
    </row>
    <row r="9" spans="1:6" ht="12.75" customHeight="1">
      <c r="A9" s="144" t="s">
        <v>196</v>
      </c>
      <c r="B9" s="145" t="str">
        <f>IF(C37&lt;=0,$C$41,$C$42)</f>
        <v>Zmniejszyć</v>
      </c>
      <c r="C9" s="146" t="s">
        <v>197</v>
      </c>
      <c r="D9" s="146"/>
      <c r="E9" s="146"/>
      <c r="F9" s="93">
        <f>'Ogółem Zmiany w paragrafach '!D57</f>
        <v>848205</v>
      </c>
    </row>
    <row r="10" ht="11.25" customHeight="1"/>
    <row r="11" spans="1:6" ht="12.75" customHeight="1">
      <c r="A11" s="144" t="s">
        <v>198</v>
      </c>
      <c r="B11" s="145" t="str">
        <f>IF(C38&lt;=0,$C$41,$C$42)</f>
        <v>Zmniejszyć</v>
      </c>
      <c r="C11" s="146" t="s">
        <v>199</v>
      </c>
      <c r="D11" s="146"/>
      <c r="E11" s="146"/>
      <c r="F11" s="93">
        <f>'Ogółem Zmiany w paragrafach '!G57</f>
        <v>848205</v>
      </c>
    </row>
    <row r="12" ht="12.75" customHeight="1"/>
    <row r="13" spans="1:6" ht="12.75" customHeight="1">
      <c r="A13" s="144" t="s">
        <v>200</v>
      </c>
      <c r="B13" s="147" t="s">
        <v>201</v>
      </c>
      <c r="C13" s="147"/>
      <c r="D13" s="147"/>
      <c r="E13" s="147"/>
      <c r="F13" s="148">
        <f>zał2!F5</f>
        <v>87878493.61</v>
      </c>
    </row>
    <row r="14" spans="2:6" ht="12.75" customHeight="1">
      <c r="B14" s="147" t="s">
        <v>202</v>
      </c>
      <c r="C14" s="147"/>
      <c r="D14" s="147"/>
      <c r="E14" s="147"/>
      <c r="F14" s="148">
        <f>zał2!F6</f>
        <v>58061182.61</v>
      </c>
    </row>
    <row r="15" spans="2:6" ht="12.75" customHeight="1">
      <c r="B15" s="149" t="s">
        <v>203</v>
      </c>
      <c r="C15" s="149"/>
      <c r="D15" s="149"/>
      <c r="E15" s="149"/>
      <c r="F15" s="148">
        <f>zał2!F7</f>
        <v>29817311</v>
      </c>
    </row>
    <row r="16" ht="12.75">
      <c r="F16" s="93"/>
    </row>
    <row r="17" spans="1:6" ht="12.75" customHeight="1">
      <c r="A17" s="144" t="s">
        <v>204</v>
      </c>
      <c r="B17" s="147" t="s">
        <v>205</v>
      </c>
      <c r="C17" s="147"/>
      <c r="D17" s="147"/>
      <c r="E17" s="147"/>
      <c r="F17" s="148">
        <f>zał2!F9</f>
        <v>89682258.61</v>
      </c>
    </row>
    <row r="18" spans="2:6" ht="15" customHeight="1">
      <c r="B18" s="150" t="s">
        <v>206</v>
      </c>
      <c r="C18" s="150"/>
      <c r="D18" s="150"/>
      <c r="E18" s="150"/>
      <c r="F18" s="148">
        <f>zał2!F10</f>
        <v>60342254.61</v>
      </c>
    </row>
    <row r="19" spans="2:6" ht="12.75" customHeight="1">
      <c r="B19" s="151" t="s">
        <v>207</v>
      </c>
      <c r="C19" s="151"/>
      <c r="D19" s="151"/>
      <c r="E19" s="151"/>
      <c r="F19" s="148">
        <f>zał2!F11</f>
        <v>29340004</v>
      </c>
    </row>
    <row r="21" spans="1:5" ht="12.75" customHeight="1">
      <c r="A21" s="152" t="s">
        <v>208</v>
      </c>
      <c r="B21" s="153" t="s">
        <v>209</v>
      </c>
      <c r="C21" s="153"/>
      <c r="D21" s="153"/>
      <c r="E21" s="153"/>
    </row>
    <row r="23" spans="1:7" ht="24.75" customHeight="1">
      <c r="A23" s="154" t="s">
        <v>210</v>
      </c>
      <c r="B23" s="155" t="s">
        <v>211</v>
      </c>
      <c r="C23" s="155"/>
      <c r="D23" s="155"/>
      <c r="E23" s="155"/>
      <c r="F23" s="155"/>
      <c r="G23" s="155"/>
    </row>
    <row r="26" spans="4:7" ht="12.75" customHeight="1">
      <c r="D26" s="156" t="s">
        <v>212</v>
      </c>
      <c r="E26" s="156"/>
      <c r="F26" s="156"/>
      <c r="G26" s="156"/>
    </row>
    <row r="28" spans="4:7" ht="12.75" customHeight="1">
      <c r="D28" s="156" t="s">
        <v>213</v>
      </c>
      <c r="E28" s="156"/>
      <c r="F28" s="156"/>
      <c r="G28" s="156"/>
    </row>
    <row r="29" ht="12.75">
      <c r="E29" s="157"/>
    </row>
    <row r="37" ht="12.75">
      <c r="C37" s="158">
        <f>'Ogółem Zmiany w paragrafach '!D36</f>
        <v>-848205</v>
      </c>
    </row>
    <row r="38" ht="12.75">
      <c r="C38" s="158">
        <f>'Ogółem Zmiany w paragrafach '!G36</f>
        <v>-848205</v>
      </c>
    </row>
    <row r="39" ht="12.75">
      <c r="C39" s="158"/>
    </row>
    <row r="40" ht="12.75">
      <c r="C40" s="158"/>
    </row>
    <row r="41" ht="12.75">
      <c r="C41" s="158" t="s">
        <v>214</v>
      </c>
    </row>
    <row r="42" ht="12.75">
      <c r="C42" s="158" t="s">
        <v>215</v>
      </c>
    </row>
  </sheetData>
  <sheetProtection selectLockedCells="1" selectUnlockedCells="1"/>
  <mergeCells count="17">
    <mergeCell ref="A1:G1"/>
    <mergeCell ref="A2:G2"/>
    <mergeCell ref="A3:G3"/>
    <mergeCell ref="B5:G5"/>
    <mergeCell ref="B7:G7"/>
    <mergeCell ref="C9:E9"/>
    <mergeCell ref="C11:E11"/>
    <mergeCell ref="B13:E13"/>
    <mergeCell ref="B14:E14"/>
    <mergeCell ref="B15:E15"/>
    <mergeCell ref="B17:E17"/>
    <mergeCell ref="B18:E18"/>
    <mergeCell ref="B19:E19"/>
    <mergeCell ref="B21:E21"/>
    <mergeCell ref="B23:G23"/>
    <mergeCell ref="D26:G26"/>
    <mergeCell ref="D28:G28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F19" sqref="F19"/>
    </sheetView>
  </sheetViews>
  <sheetFormatPr defaultColWidth="12.57421875" defaultRowHeight="12.75"/>
  <cols>
    <col min="1" max="1" width="4.00390625" style="0" customWidth="1"/>
    <col min="2" max="4" width="11.57421875" style="0" customWidth="1"/>
    <col min="5" max="5" width="17.57421875" style="0" customWidth="1"/>
    <col min="6" max="6" width="16.28125" style="0" customWidth="1"/>
    <col min="7" max="16384" width="11.57421875" style="0" customWidth="1"/>
  </cols>
  <sheetData>
    <row r="1" spans="1:7" ht="12.75">
      <c r="A1" s="141" t="s">
        <v>216</v>
      </c>
      <c r="B1" s="141"/>
      <c r="C1" s="141"/>
      <c r="D1" s="141"/>
      <c r="E1" s="141"/>
      <c r="F1" s="141"/>
      <c r="G1" s="141"/>
    </row>
    <row r="2" spans="1:7" ht="12.75">
      <c r="A2" s="141" t="s">
        <v>63</v>
      </c>
      <c r="B2" s="141"/>
      <c r="C2" s="141"/>
      <c r="D2" s="141"/>
      <c r="E2" s="141"/>
      <c r="F2" s="141"/>
      <c r="G2" s="141"/>
    </row>
    <row r="3" spans="1:7" ht="12.75">
      <c r="A3" s="141" t="s">
        <v>217</v>
      </c>
      <c r="B3" s="141"/>
      <c r="C3" s="141"/>
      <c r="D3" s="141"/>
      <c r="E3" s="141"/>
      <c r="F3" s="141"/>
      <c r="G3" s="141"/>
    </row>
    <row r="5" spans="2:7" ht="24.75" customHeight="1">
      <c r="B5" s="142" t="s">
        <v>194</v>
      </c>
      <c r="C5" s="142"/>
      <c r="D5" s="142"/>
      <c r="E5" s="142"/>
      <c r="F5" s="142"/>
      <c r="G5" s="142"/>
    </row>
    <row r="7" spans="2:7" ht="30.75" customHeight="1">
      <c r="B7" s="159" t="s">
        <v>218</v>
      </c>
      <c r="C7" s="159"/>
      <c r="D7" s="159"/>
      <c r="E7" s="159"/>
      <c r="F7" s="159"/>
      <c r="G7" s="159"/>
    </row>
    <row r="8" s="158" customFormat="1" ht="10.5" customHeight="1"/>
    <row r="9" spans="1:6" s="158" customFormat="1" ht="18" customHeight="1">
      <c r="A9" s="160" t="s">
        <v>196</v>
      </c>
      <c r="B9" s="161" t="str">
        <f>'Uchwała '!B9</f>
        <v>Zmniejszyć</v>
      </c>
      <c r="C9" s="162" t="s">
        <v>197</v>
      </c>
      <c r="D9" s="162"/>
      <c r="E9" s="162"/>
      <c r="F9" s="148">
        <f>'Ogółem Zmiany w paragrafach '!D57</f>
        <v>848205</v>
      </c>
    </row>
    <row r="10" s="158" customFormat="1" ht="10.5" customHeight="1"/>
    <row r="11" spans="1:6" s="158" customFormat="1" ht="18" customHeight="1">
      <c r="A11" s="160" t="s">
        <v>198</v>
      </c>
      <c r="B11" s="161" t="str">
        <f>'Uchwała '!B11</f>
        <v>Zmniejszyć</v>
      </c>
      <c r="C11" s="162" t="s">
        <v>199</v>
      </c>
      <c r="D11" s="162"/>
      <c r="E11" s="162"/>
      <c r="F11" s="148">
        <f>'Ogółem Zmiany w paragrafach '!G57</f>
        <v>848205</v>
      </c>
    </row>
    <row r="12" s="158" customFormat="1" ht="11.25" customHeight="1"/>
    <row r="13" spans="1:6" s="158" customFormat="1" ht="18" customHeight="1">
      <c r="A13" s="160" t="s">
        <v>200</v>
      </c>
      <c r="B13" s="163" t="s">
        <v>201</v>
      </c>
      <c r="C13" s="163"/>
      <c r="D13" s="163"/>
      <c r="E13" s="163"/>
      <c r="F13" s="148">
        <f>zał2!F5</f>
        <v>87878493.61</v>
      </c>
    </row>
    <row r="14" spans="2:6" s="158" customFormat="1" ht="18" customHeight="1">
      <c r="B14" s="163" t="s">
        <v>202</v>
      </c>
      <c r="C14" s="163"/>
      <c r="D14" s="163"/>
      <c r="E14" s="163"/>
      <c r="F14" s="148">
        <f>zał2!F6</f>
        <v>58061182.61</v>
      </c>
    </row>
    <row r="15" spans="2:6" s="158" customFormat="1" ht="18.75" customHeight="1">
      <c r="B15" s="164" t="s">
        <v>203</v>
      </c>
      <c r="C15" s="164"/>
      <c r="D15" s="164"/>
      <c r="E15" s="164"/>
      <c r="F15" s="148">
        <f>zał2!F7</f>
        <v>29817311</v>
      </c>
    </row>
    <row r="16" s="158" customFormat="1" ht="12" customHeight="1">
      <c r="F16" s="148"/>
    </row>
    <row r="17" spans="1:6" s="158" customFormat="1" ht="18" customHeight="1">
      <c r="A17" s="160" t="s">
        <v>204</v>
      </c>
      <c r="B17" s="163" t="s">
        <v>205</v>
      </c>
      <c r="C17" s="163"/>
      <c r="D17" s="163"/>
      <c r="E17" s="163"/>
      <c r="F17" s="148">
        <f>zał2!F9</f>
        <v>89682258.61</v>
      </c>
    </row>
    <row r="18" spans="2:6" s="158" customFormat="1" ht="21" customHeight="1">
      <c r="B18" s="165" t="s">
        <v>206</v>
      </c>
      <c r="C18" s="165"/>
      <c r="D18" s="165"/>
      <c r="E18" s="165"/>
      <c r="F18" s="148">
        <f>zał2!F10</f>
        <v>60342254.61</v>
      </c>
    </row>
    <row r="19" spans="2:6" s="158" customFormat="1" ht="18.75" customHeight="1">
      <c r="B19" s="166" t="s">
        <v>207</v>
      </c>
      <c r="C19" s="166"/>
      <c r="D19" s="166"/>
      <c r="E19" s="166"/>
      <c r="F19" s="148">
        <f>zał2!F11</f>
        <v>29340004</v>
      </c>
    </row>
    <row r="21" spans="1:7" ht="24.75" customHeight="1">
      <c r="A21" s="152" t="s">
        <v>208</v>
      </c>
      <c r="B21" s="167" t="s">
        <v>219</v>
      </c>
      <c r="C21" s="167"/>
      <c r="D21" s="167"/>
      <c r="E21" s="167"/>
      <c r="F21" s="167"/>
      <c r="G21" s="167"/>
    </row>
    <row r="24" spans="4:7" ht="12.75" customHeight="1">
      <c r="D24" s="156" t="s">
        <v>220</v>
      </c>
      <c r="E24" s="156"/>
      <c r="F24" s="156"/>
      <c r="G24" s="156"/>
    </row>
    <row r="26" spans="4:7" ht="12.75" customHeight="1">
      <c r="D26" s="156" t="s">
        <v>221</v>
      </c>
      <c r="E26" s="156"/>
      <c r="F26" s="156"/>
      <c r="G26" s="156"/>
    </row>
  </sheetData>
  <sheetProtection selectLockedCells="1" selectUnlockedCells="1"/>
  <mergeCells count="16">
    <mergeCell ref="A1:G1"/>
    <mergeCell ref="A2:G2"/>
    <mergeCell ref="A3:G3"/>
    <mergeCell ref="B5:G5"/>
    <mergeCell ref="B7:G7"/>
    <mergeCell ref="C9:E9"/>
    <mergeCell ref="C11:E11"/>
    <mergeCell ref="B13:E13"/>
    <mergeCell ref="B14:E14"/>
    <mergeCell ref="B15:E15"/>
    <mergeCell ref="B17:E17"/>
    <mergeCell ref="B18:E18"/>
    <mergeCell ref="B19:E19"/>
    <mergeCell ref="B21:G21"/>
    <mergeCell ref="D24:G24"/>
    <mergeCell ref="D26:G26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1">
      <selection activeCell="F63" sqref="F63"/>
    </sheetView>
  </sheetViews>
  <sheetFormatPr defaultColWidth="12.57421875" defaultRowHeight="12.75"/>
  <cols>
    <col min="1" max="1" width="19.57421875" style="0" customWidth="1"/>
    <col min="2" max="2" width="11.00390625" style="0" customWidth="1"/>
    <col min="3" max="3" width="6.140625" style="0" customWidth="1"/>
    <col min="4" max="4" width="15.28125" style="0" customWidth="1"/>
    <col min="5" max="5" width="14.140625" style="0" customWidth="1"/>
    <col min="6" max="6" width="6.00390625" style="0" customWidth="1"/>
    <col min="7" max="7" width="19.28125" style="0" customWidth="1"/>
    <col min="8" max="8" width="18.7109375" style="0" customWidth="1"/>
    <col min="9" max="11" width="11.57421875" style="0" customWidth="1"/>
    <col min="12" max="12" width="10.57421875" style="0" customWidth="1"/>
    <col min="13" max="13" width="11.421875" style="0" customWidth="1"/>
    <col min="14" max="16384" width="11.57421875" style="0" customWidth="1"/>
  </cols>
  <sheetData>
    <row r="1" spans="1:8" ht="17.25">
      <c r="A1" s="168" t="s">
        <v>222</v>
      </c>
      <c r="B1" s="168"/>
      <c r="C1" s="168"/>
      <c r="D1" s="168"/>
      <c r="E1" s="168"/>
      <c r="F1" s="168"/>
      <c r="G1" s="168"/>
      <c r="H1" s="168"/>
    </row>
    <row r="2" spans="1:8" ht="15">
      <c r="A2" s="135"/>
      <c r="B2" s="135"/>
      <c r="C2" s="169" t="s">
        <v>223</v>
      </c>
      <c r="D2" s="169"/>
      <c r="E2" s="169"/>
      <c r="F2" s="169" t="s">
        <v>224</v>
      </c>
      <c r="G2" s="169"/>
      <c r="H2" s="169"/>
    </row>
    <row r="3" spans="1:15" ht="65.25" customHeight="1">
      <c r="A3" s="170" t="s">
        <v>225</v>
      </c>
      <c r="B3" s="170" t="s">
        <v>226</v>
      </c>
      <c r="C3" s="171" t="s">
        <v>227</v>
      </c>
      <c r="D3" s="170" t="s">
        <v>228</v>
      </c>
      <c r="E3" s="170" t="s">
        <v>229</v>
      </c>
      <c r="F3" s="171" t="s">
        <v>227</v>
      </c>
      <c r="G3" s="170" t="s">
        <v>228</v>
      </c>
      <c r="H3" s="170" t="s">
        <v>229</v>
      </c>
      <c r="I3" s="172"/>
      <c r="J3" s="172"/>
      <c r="K3" s="173"/>
      <c r="L3" s="174" t="s">
        <v>230</v>
      </c>
      <c r="M3" s="174" t="s">
        <v>230</v>
      </c>
      <c r="N3" s="174" t="s">
        <v>231</v>
      </c>
      <c r="O3" s="174"/>
    </row>
    <row r="4" spans="1:15" ht="12.75">
      <c r="A4" s="175"/>
      <c r="B4" s="176"/>
      <c r="C4" s="176"/>
      <c r="D4" s="177"/>
      <c r="E4" s="177"/>
      <c r="F4" s="178"/>
      <c r="G4" s="177"/>
      <c r="H4" s="177"/>
      <c r="I4" s="179"/>
      <c r="L4" s="180">
        <f>IF($F4=4170,G4,0)+IF($F4=4177,G4,0)+IF($F4=4179,G4,0)+IF($F4=4010,G4,0)+IF($F4=4110,G4,0)+IF($F4=4120,G4,0)+IF($F4=4017,G4,0)+IF($F4=4117,G4,0)+IF($F4=4127,G4,0)+IF($F4=4019,G4,0)+IF($F4=4119,G4,0)+IF($F4=4129,G4,0)+IF($F4=4040,G4,0)+IF($F4=4047,G4,0)+IF($F4=4049,G4,0)</f>
        <v>0</v>
      </c>
      <c r="M4" s="180">
        <f>IF($F4=4170,H4,0)+IF($F4=4177,H4,0)+IF($F4=4179,H4,0)+IF($F4=4010,H4,0)+IF($F4=4110,H4,0)+IF($F4=4120,H4,0)+IF($F4=4017,H4,0)+IF($F4=4117,H4,0)+IF($F4=4127,H4,0)+IF($F4=4019,H4,0)+IF($F4=4119,H4,0)+IF($F4=4129,H4,0)+IF($F4=4040,H4,0)+IF($F4=4047,H4,0)+IF($F4=4049,H4,0)</f>
        <v>0</v>
      </c>
      <c r="N4" s="180">
        <f>IF($B4=75022,G4,0)+IF($B4=75023,G4,0)</f>
        <v>0</v>
      </c>
      <c r="O4" s="180">
        <f>IF($B4=75022,H4,0)+IF($B4=75023,H4,0)</f>
        <v>0</v>
      </c>
    </row>
    <row r="5" spans="1:15" ht="12.75">
      <c r="A5" s="175" t="s">
        <v>232</v>
      </c>
      <c r="B5" s="176"/>
      <c r="C5" s="176"/>
      <c r="D5" s="177"/>
      <c r="E5" s="177"/>
      <c r="F5" s="178"/>
      <c r="G5" s="177"/>
      <c r="H5" s="177"/>
      <c r="I5" s="181"/>
      <c r="L5" s="180">
        <f>IF($F5=4170,G5,0)+IF($F5=4177,G5,0)+IF($F5=4179,G5,0)+IF($F5=4010,G5,0)+IF($F5=4110,G5,0)+IF($F5=4120,G5,0)+IF($F5=4017,G5,0)+IF($F5=4117,G5,0)+IF($F5=4127,G5,0)+IF($F5=4019,G5,0)+IF($F5=4119,G5,0)+IF($F5=4129,G5,0)+IF($F5=4040,G5,0)+IF($F5=4047,G5,0)+IF($F5=4049,G5,0)</f>
        <v>0</v>
      </c>
      <c r="M5" s="180">
        <f>IF($F5=4170,H5,0)+IF($F5=4177,H5,0)+IF($F5=4179,H5,0)+IF($F5=4010,H5,0)+IF($F5=4110,H5,0)+IF($F5=4120,H5,0)+IF($F5=4017,H5,0)+IF($F5=4117,H5,0)+IF($F5=4127,H5,0)+IF($F5=4019,H5,0)+IF($F5=4119,H5,0)+IF($F5=4129,H5,0)+IF($F5=4040,H5,0)+IF($F5=4047,H5,0)+IF($F5=4049,H5,0)</f>
        <v>0</v>
      </c>
      <c r="N5" s="180">
        <f>IF($B5=75022,G5,0)+IF($B5=75023,G5,0)</f>
        <v>0</v>
      </c>
      <c r="O5" s="180">
        <f>IF($B5=75022,H5,0)+IF($B5=75023,H5,0)</f>
        <v>0</v>
      </c>
    </row>
    <row r="6" spans="1:15" ht="12.75">
      <c r="A6" s="175"/>
      <c r="B6" s="176" t="s">
        <v>233</v>
      </c>
      <c r="C6" s="176" t="s">
        <v>234</v>
      </c>
      <c r="D6" s="177"/>
      <c r="E6" s="177">
        <v>1080000</v>
      </c>
      <c r="F6" s="178"/>
      <c r="G6" s="177"/>
      <c r="H6" s="177"/>
      <c r="I6" s="181"/>
      <c r="L6" s="180">
        <f>IF($F6=4170,G6,0)+IF($F6=4177,G6,0)+IF($F6=4179,G6,0)+IF($F6=4010,G6,0)+IF($F6=4110,G6,0)+IF($F6=4120,G6,0)+IF($F6=4017,G6,0)+IF($F6=4117,G6,0)+IF($F6=4127,G6,0)+IF($F6=4019,G6,0)+IF($F6=4119,G6,0)+IF($F6=4129,G6,0)+IF($F6=4040,G6,0)+IF($F6=4047,G6,0)+IF($F6=4049,G6,0)</f>
        <v>0</v>
      </c>
      <c r="M6" s="180">
        <f>IF($F6=4170,H6,0)+IF($F6=4177,H6,0)+IF($F6=4179,H6,0)+IF($F6=4010,H6,0)+IF($F6=4110,H6,0)+IF($F6=4120,H6,0)+IF($F6=4017,H6,0)+IF($F6=4117,H6,0)+IF($F6=4127,H6,0)+IF($F6=4019,H6,0)+IF($F6=4119,H6,0)+IF($F6=4129,H6,0)+IF($F6=4040,H6,0)+IF($F6=4047,H6,0)+IF($F6=4049,H6,0)</f>
        <v>0</v>
      </c>
      <c r="N6" s="180">
        <f>IF($B6=75022,G6,0)+IF($B6=75023,G6,0)</f>
        <v>0</v>
      </c>
      <c r="O6" s="180">
        <f>IF($B6=75022,H6,0)+IF($B6=75023,H6,0)</f>
        <v>0</v>
      </c>
    </row>
    <row r="7" spans="1:15" ht="12.75">
      <c r="A7" s="175"/>
      <c r="B7" s="176" t="s">
        <v>235</v>
      </c>
      <c r="C7" s="176"/>
      <c r="D7" s="177"/>
      <c r="E7" s="177"/>
      <c r="F7" s="178">
        <v>4300</v>
      </c>
      <c r="G7" s="177"/>
      <c r="H7" s="177">
        <v>80000</v>
      </c>
      <c r="I7" s="181"/>
      <c r="L7" s="180">
        <f>IF($F7=4170,G7,0)+IF($F7=4177,G7,0)+IF($F7=4179,G7,0)+IF($F7=4010,G7,0)+IF($F7=4110,G7,0)+IF($F7=4120,G7,0)+IF($F7=4017,G7,0)+IF($F7=4117,G7,0)+IF($F7=4127,G7,0)+IF($F7=4019,G7,0)+IF($F7=4119,G7,0)+IF($F7=4129,G7,0)+IF($F7=4040,G7,0)+IF($F7=4047,G7,0)+IF($F7=4049,G7,0)</f>
        <v>0</v>
      </c>
      <c r="M7" s="180">
        <f>IF($F7=4170,H7,0)+IF($F7=4177,H7,0)+IF($F7=4179,H7,0)+IF($F7=4010,H7,0)+IF($F7=4110,H7,0)+IF($F7=4120,H7,0)+IF($F7=4017,H7,0)+IF($F7=4117,H7,0)+IF($F7=4127,H7,0)+IF($F7=4019,H7,0)+IF($F7=4119,H7,0)+IF($F7=4129,H7,0)+IF($F7=4040,H7,0)+IF($F7=4047,H7,0)+IF($F7=4049,H7,0)</f>
        <v>0</v>
      </c>
      <c r="N7" s="180">
        <f>IF($B7=75022,G7,0)+IF($B7=75023,G7,0)</f>
        <v>0</v>
      </c>
      <c r="O7" s="180">
        <f>IF($B7=75022,H7,0)+IF($B7=75023,H7,0)</f>
        <v>0</v>
      </c>
    </row>
    <row r="8" spans="1:15" ht="12.75">
      <c r="A8" s="175"/>
      <c r="B8" s="176"/>
      <c r="C8" s="176"/>
      <c r="D8" s="177"/>
      <c r="E8" s="177"/>
      <c r="F8" s="178">
        <v>8020</v>
      </c>
      <c r="G8" s="177"/>
      <c r="H8" s="177">
        <v>1000000</v>
      </c>
      <c r="I8" s="181"/>
      <c r="L8" s="180">
        <f>IF($F8=4170,G8,0)+IF($F8=4177,G8,0)+IF($F8=4179,G8,0)+IF($F8=4010,G8,0)+IF($F8=4110,G8,0)+IF($F8=4120,G8,0)+IF($F8=4017,G8,0)+IF($F8=4117,G8,0)+IF($F8=4127,G8,0)+IF($F8=4019,G8,0)+IF($F8=4119,G8,0)+IF($F8=4129,G8,0)+IF($F8=4040,G8,0)+IF($F8=4047,G8,0)+IF($F8=4049,G8,0)</f>
        <v>0</v>
      </c>
      <c r="M8" s="180">
        <f>IF($F8=4170,H8,0)+IF($F8=4177,H8,0)+IF($F8=4179,H8,0)+IF($F8=4010,H8,0)+IF($F8=4110,H8,0)+IF($F8=4120,H8,0)+IF($F8=4017,H8,0)+IF($F8=4117,H8,0)+IF($F8=4127,H8,0)+IF($F8=4019,H8,0)+IF($F8=4119,H8,0)+IF($F8=4129,H8,0)+IF($F8=4040,H8,0)+IF($F8=4047,H8,0)+IF($F8=4049,H8,0)</f>
        <v>0</v>
      </c>
      <c r="N8" s="180">
        <f>IF($B8=75022,G8,0)+IF($B8=75023,G8,0)</f>
        <v>0</v>
      </c>
      <c r="O8" s="180">
        <f>IF($B8=75022,H8,0)+IF($B8=75023,H8,0)</f>
        <v>0</v>
      </c>
    </row>
    <row r="9" spans="1:15" ht="12.75">
      <c r="A9" s="175"/>
      <c r="B9" s="176"/>
      <c r="C9" s="176"/>
      <c r="D9" s="177"/>
      <c r="E9" s="177"/>
      <c r="F9" s="178"/>
      <c r="G9" s="177"/>
      <c r="H9" s="177"/>
      <c r="I9" s="181"/>
      <c r="L9" s="180">
        <f>IF($F9=4170,G9,0)+IF($F9=4177,G9,0)+IF($F9=4179,G9,0)+IF($F9=4010,G9,0)+IF($F9=4110,G9,0)+IF($F9=4120,G9,0)+IF($F9=4017,G9,0)+IF($F9=4117,G9,0)+IF($F9=4127,G9,0)+IF($F9=4019,G9,0)+IF($F9=4119,G9,0)+IF($F9=4129,G9,0)+IF($F9=4040,G9,0)+IF($F9=4047,G9,0)+IF($F9=4049,G9,0)</f>
        <v>0</v>
      </c>
      <c r="M9" s="180">
        <f>IF($F9=4170,H9,0)+IF($F9=4177,H9,0)+IF($F9=4179,H9,0)+IF($F9=4010,H9,0)+IF($F9=4110,H9,0)+IF($F9=4120,H9,0)+IF($F9=4017,H9,0)+IF($F9=4117,H9,0)+IF($F9=4127,H9,0)+IF($F9=4019,H9,0)+IF($F9=4119,H9,0)+IF($F9=4129,H9,0)+IF($F9=4040,H9,0)+IF($F9=4047,H9,0)+IF($F9=4049,H9,0)</f>
        <v>0</v>
      </c>
      <c r="N9" s="180">
        <f>IF($B9=75022,G9,0)+IF($B9=75023,G9,0)</f>
        <v>0</v>
      </c>
      <c r="O9" s="180">
        <f>IF($B9=75022,H9,0)+IF($B9=75023,H9,0)</f>
        <v>0</v>
      </c>
    </row>
    <row r="10" spans="1:15" ht="12.75">
      <c r="A10" s="175"/>
      <c r="B10" s="176" t="s">
        <v>236</v>
      </c>
      <c r="C10" s="176"/>
      <c r="D10" s="177"/>
      <c r="E10" s="177"/>
      <c r="F10" s="178">
        <v>2319</v>
      </c>
      <c r="G10" s="177">
        <v>10000</v>
      </c>
      <c r="H10" s="177"/>
      <c r="I10" s="181"/>
      <c r="L10" s="180">
        <f>IF($F10=4170,G10,0)+IF($F10=4177,G10,0)+IF($F10=4179,G10,0)+IF($F10=4010,G10,0)+IF($F10=4110,G10,0)+IF($F10=4120,G10,0)+IF($F10=4017,G10,0)+IF($F10=4117,G10,0)+IF($F10=4127,G10,0)+IF($F10=4019,G10,0)+IF($F10=4119,G10,0)+IF($F10=4129,G10,0)+IF($F10=4040,G10,0)+IF($F10=4047,G10,0)+IF($F10=4049,G10,0)</f>
        <v>0</v>
      </c>
      <c r="M10" s="180">
        <f>IF($F10=4170,H10,0)+IF($F10=4177,H10,0)+IF($F10=4179,H10,0)+IF($F10=4010,H10,0)+IF($F10=4110,H10,0)+IF($F10=4120,H10,0)+IF($F10=4017,H10,0)+IF($F10=4117,H10,0)+IF($F10=4127,H10,0)+IF($F10=4019,H10,0)+IF($F10=4119,H10,0)+IF($F10=4129,H10,0)+IF($F10=4040,H10,0)+IF($F10=4047,H10,0)+IF($F10=4049,H10,0)</f>
        <v>0</v>
      </c>
      <c r="N10" s="180">
        <f>IF($B10=75022,G10,0)+IF($B10=75023,G10,0)</f>
        <v>0</v>
      </c>
      <c r="O10" s="180">
        <f>IF($B10=75022,H10,0)+IF($B10=75023,H10,0)</f>
        <v>0</v>
      </c>
    </row>
    <row r="11" spans="1:15" ht="12.75">
      <c r="A11" s="175"/>
      <c r="B11" s="176"/>
      <c r="C11" s="176"/>
      <c r="D11" s="177"/>
      <c r="E11" s="177"/>
      <c r="F11" s="178">
        <v>2830</v>
      </c>
      <c r="G11" s="177">
        <v>10000</v>
      </c>
      <c r="H11" s="177"/>
      <c r="I11" s="181"/>
      <c r="L11" s="180">
        <f>IF($F11=4170,G11,0)+IF($F11=4177,G11,0)+IF($F11=4179,G11,0)+IF($F11=4010,G11,0)+IF($F11=4110,G11,0)+IF($F11=4120,G11,0)+IF($F11=4017,G11,0)+IF($F11=4117,G11,0)+IF($F11=4127,G11,0)+IF($F11=4019,G11,0)+IF($F11=4119,G11,0)+IF($F11=4129,G11,0)+IF($F11=4040,G11,0)+IF($F11=4047,G11,0)+IF($F11=4049,G11,0)</f>
        <v>0</v>
      </c>
      <c r="M11" s="180">
        <f>IF($F11=4170,H11,0)+IF($F11=4177,H11,0)+IF($F11=4179,H11,0)+IF($F11=4010,H11,0)+IF($F11=4110,H11,0)+IF($F11=4120,H11,0)+IF($F11=4017,H11,0)+IF($F11=4117,H11,0)+IF($F11=4127,H11,0)+IF($F11=4019,H11,0)+IF($F11=4119,H11,0)+IF($F11=4129,H11,0)+IF($F11=4040,H11,0)+IF($F11=4047,H11,0)+IF($F11=4049,H11,0)</f>
        <v>0</v>
      </c>
      <c r="N11" s="180">
        <f>IF($B11=75022,G11,0)+IF($B11=75023,G11,0)</f>
        <v>0</v>
      </c>
      <c r="O11" s="180">
        <f>IF($B11=75022,H11,0)+IF($B11=75023,H11,0)</f>
        <v>0</v>
      </c>
    </row>
    <row r="12" spans="1:15" ht="12.75">
      <c r="A12" s="175"/>
      <c r="B12" s="176"/>
      <c r="C12" s="176"/>
      <c r="D12" s="177"/>
      <c r="E12" s="177"/>
      <c r="F12" s="178">
        <v>4300</v>
      </c>
      <c r="G12" s="177"/>
      <c r="H12" s="177">
        <v>20000</v>
      </c>
      <c r="I12" s="181"/>
      <c r="L12" s="180">
        <f>IF($F12=4170,G12,0)+IF($F12=4177,G12,0)+IF($F12=4179,G12,0)+IF($F12=4010,G12,0)+IF($F12=4110,G12,0)+IF($F12=4120,G12,0)+IF($F12=4017,G12,0)+IF($F12=4117,G12,0)+IF($F12=4127,G12,0)+IF($F12=4019,G12,0)+IF($F12=4119,G12,0)+IF($F12=4129,G12,0)+IF($F12=4040,G12,0)+IF($F12=4047,G12,0)+IF($F12=4049,G12,0)</f>
        <v>0</v>
      </c>
      <c r="M12" s="180">
        <f>IF($F12=4170,H12,0)+IF($F12=4177,H12,0)+IF($F12=4179,H12,0)+IF($F12=4010,H12,0)+IF($F12=4110,H12,0)+IF($F12=4120,H12,0)+IF($F12=4017,H12,0)+IF($F12=4117,H12,0)+IF($F12=4127,H12,0)+IF($F12=4019,H12,0)+IF($F12=4119,H12,0)+IF($F12=4129,H12,0)+IF($F12=4040,H12,0)+IF($F12=4047,H12,0)+IF($F12=4049,H12,0)</f>
        <v>0</v>
      </c>
      <c r="N12" s="180">
        <f>IF($B12=75022,G12,0)+IF($B12=75023,G12,0)</f>
        <v>0</v>
      </c>
      <c r="O12" s="180">
        <f>IF($B12=75022,H12,0)+IF($B12=75023,H12,0)</f>
        <v>0</v>
      </c>
    </row>
    <row r="13" spans="1:15" ht="12.75">
      <c r="A13" s="175"/>
      <c r="B13" s="176" t="s">
        <v>237</v>
      </c>
      <c r="C13" s="176"/>
      <c r="D13" s="177"/>
      <c r="E13" s="177"/>
      <c r="F13" s="178">
        <v>6010</v>
      </c>
      <c r="G13" s="177"/>
      <c r="H13" s="177">
        <v>1700000</v>
      </c>
      <c r="I13" s="181"/>
      <c r="L13" s="180">
        <f>IF($F13=4170,G13,0)+IF($F13=4177,G13,0)+IF($F13=4179,G13,0)+IF($F13=4010,G13,0)+IF($F13=4110,G13,0)+IF($F13=4120,G13,0)+IF($F13=4017,G13,0)+IF($F13=4117,G13,0)+IF($F13=4127,G13,0)+IF($F13=4019,G13,0)+IF($F13=4119,G13,0)+IF($F13=4129,G13,0)+IF($F13=4040,G13,0)+IF($F13=4047,G13,0)+IF($F13=4049,G13,0)</f>
        <v>0</v>
      </c>
      <c r="M13" s="180">
        <f>IF($F13=4170,H13,0)+IF($F13=4177,H13,0)+IF($F13=4179,H13,0)+IF($F13=4010,H13,0)+IF($F13=4110,H13,0)+IF($F13=4120,H13,0)+IF($F13=4017,H13,0)+IF($F13=4117,H13,0)+IF($F13=4127,H13,0)+IF($F13=4019,H13,0)+IF($F13=4119,H13,0)+IF($F13=4129,H13,0)+IF($F13=4040,H13,0)+IF($F13=4047,H13,0)+IF($F13=4049,H13,0)</f>
        <v>0</v>
      </c>
      <c r="N13" s="180">
        <f>IF($B13=75022,G13,0)+IF($B13=75023,G13,0)</f>
        <v>0</v>
      </c>
      <c r="O13" s="180">
        <f>IF($B13=75022,H13,0)+IF($B13=75023,H13,0)</f>
        <v>0</v>
      </c>
    </row>
    <row r="14" spans="1:15" ht="12.75">
      <c r="A14" s="175"/>
      <c r="B14" s="176"/>
      <c r="C14" s="176"/>
      <c r="D14" s="177"/>
      <c r="E14" s="177"/>
      <c r="F14" s="178"/>
      <c r="G14" s="177"/>
      <c r="H14" s="177"/>
      <c r="I14" s="181"/>
      <c r="L14" s="180">
        <f>IF($F14=4170,G14,0)+IF($F14=4177,G14,0)+IF($F14=4179,G14,0)+IF($F14=4010,G14,0)+IF($F14=4110,G14,0)+IF($F14=4120,G14,0)+IF($F14=4017,G14,0)+IF($F14=4117,G14,0)+IF($F14=4127,G14,0)+IF($F14=4019,G14,0)+IF($F14=4119,G14,0)+IF($F14=4129,G14,0)+IF($F14=4040,G14,0)+IF($F14=4047,G14,0)+IF($F14=4049,G14,0)</f>
        <v>0</v>
      </c>
      <c r="M14" s="180">
        <f>IF($F14=4170,H14,0)+IF($F14=4177,H14,0)+IF($F14=4179,H14,0)+IF($F14=4010,H14,0)+IF($F14=4110,H14,0)+IF($F14=4120,H14,0)+IF($F14=4017,H14,0)+IF($F14=4117,H14,0)+IF($F14=4127,H14,0)+IF($F14=4019,H14,0)+IF($F14=4119,H14,0)+IF($F14=4129,H14,0)+IF($F14=4040,H14,0)+IF($F14=4047,H14,0)+IF($F14=4049,H14,0)</f>
        <v>0</v>
      </c>
      <c r="N14" s="180">
        <f>IF($B14=75022,G14,0)+IF($B14=75023,G14,0)</f>
        <v>0</v>
      </c>
      <c r="O14" s="180">
        <f>IF($B14=75022,H14,0)+IF($B14=75023,H14,0)</f>
        <v>0</v>
      </c>
    </row>
    <row r="15" spans="1:15" ht="12.75">
      <c r="A15" s="175"/>
      <c r="B15" s="176" t="s">
        <v>238</v>
      </c>
      <c r="C15" s="176"/>
      <c r="D15" s="177"/>
      <c r="E15" s="177"/>
      <c r="F15" s="178">
        <v>6059</v>
      </c>
      <c r="G15" s="177">
        <v>213573</v>
      </c>
      <c r="H15" s="177"/>
      <c r="I15" s="181"/>
      <c r="L15" s="180">
        <f>IF($F15=4170,G15,0)+IF($F15=4177,G15,0)+IF($F15=4179,G15,0)+IF($F15=4010,G15,0)+IF($F15=4110,G15,0)+IF($F15=4120,G15,0)+IF($F15=4017,G15,0)+IF($F15=4117,G15,0)+IF($F15=4127,G15,0)+IF($F15=4019,G15,0)+IF($F15=4119,G15,0)+IF($F15=4129,G15,0)+IF($F15=4040,G15,0)+IF($F15=4047,G15,0)+IF($F15=4049,G15,0)</f>
        <v>0</v>
      </c>
      <c r="M15" s="180">
        <f>IF($F15=4170,H15,0)+IF($F15=4177,H15,0)+IF($F15=4179,H15,0)+IF($F15=4010,H15,0)+IF($F15=4110,H15,0)+IF($F15=4120,H15,0)+IF($F15=4017,H15,0)+IF($F15=4117,H15,0)+IF($F15=4127,H15,0)+IF($F15=4019,H15,0)+IF($F15=4119,H15,0)+IF($F15=4129,H15,0)+IF($F15=4040,H15,0)+IF($F15=4047,H15,0)+IF($F15=4049,H15,0)</f>
        <v>0</v>
      </c>
      <c r="N15" s="180">
        <f>IF($B15=75022,G15,0)+IF($B15=75023,G15,0)</f>
        <v>0</v>
      </c>
      <c r="O15" s="180">
        <f>IF($B15=75022,H15,0)+IF($B15=75023,H15,0)</f>
        <v>0</v>
      </c>
    </row>
    <row r="16" spans="1:15" ht="12.75">
      <c r="A16" s="175"/>
      <c r="B16" s="176"/>
      <c r="C16" s="176" t="s">
        <v>239</v>
      </c>
      <c r="D16" s="177">
        <v>1958155</v>
      </c>
      <c r="E16" s="177"/>
      <c r="F16" s="178">
        <v>6057</v>
      </c>
      <c r="G16" s="177">
        <v>1958155</v>
      </c>
      <c r="H16" s="177"/>
      <c r="I16" s="181"/>
      <c r="L16" s="180">
        <f>IF($F16=4170,G16,0)+IF($F16=4177,G16,0)+IF($F16=4179,G16,0)+IF($F16=4010,G16,0)+IF($F16=4110,G16,0)+IF($F16=4120,G16,0)+IF($F16=4017,G16,0)+IF($F16=4117,G16,0)+IF($F16=4127,G16,0)+IF($F16=4019,G16,0)+IF($F16=4119,G16,0)+IF($F16=4129,G16,0)+IF($F16=4040,G16,0)+IF($F16=4047,G16,0)+IF($F16=4049,G16,0)</f>
        <v>0</v>
      </c>
      <c r="M16" s="180">
        <f>IF($F16=4170,H16,0)+IF($F16=4177,H16,0)+IF($F16=4179,H16,0)+IF($F16=4010,H16,0)+IF($F16=4110,H16,0)+IF($F16=4120,H16,0)+IF($F16=4017,H16,0)+IF($F16=4117,H16,0)+IF($F16=4127,H16,0)+IF($F16=4019,H16,0)+IF($F16=4119,H16,0)+IF($F16=4129,H16,0)+IF($F16=4040,H16,0)+IF($F16=4047,H16,0)+IF($F16=4049,H16,0)</f>
        <v>0</v>
      </c>
      <c r="N16" s="180">
        <f>IF($B16=75022,G16,0)+IF($B16=75023,G16,0)</f>
        <v>0</v>
      </c>
      <c r="O16" s="180">
        <f>IF($B16=75022,H16,0)+IF($B16=75023,H16,0)</f>
        <v>0</v>
      </c>
    </row>
    <row r="17" spans="1:15" ht="12.75">
      <c r="A17" s="175"/>
      <c r="B17" s="176"/>
      <c r="C17" s="176"/>
      <c r="D17" s="177"/>
      <c r="E17" s="177"/>
      <c r="F17" s="178"/>
      <c r="G17" s="177"/>
      <c r="H17" s="177"/>
      <c r="I17" s="181"/>
      <c r="L17" s="180">
        <f>IF($F17=4170,G17,0)+IF($F17=4177,G17,0)+IF($F17=4179,G17,0)+IF($F17=4010,G17,0)+IF($F17=4110,G17,0)+IF($F17=4120,G17,0)+IF($F17=4017,G17,0)+IF($F17=4117,G17,0)+IF($F17=4127,G17,0)+IF($F17=4019,G17,0)+IF($F17=4119,G17,0)+IF($F17=4129,G17,0)+IF($F17=4040,G17,0)+IF($F17=4047,G17,0)+IF($F17=4049,G17,0)</f>
        <v>0</v>
      </c>
      <c r="M17" s="180">
        <f>IF($F17=4170,H17,0)+IF($F17=4177,H17,0)+IF($F17=4179,H17,0)+IF($F17=4010,H17,0)+IF($F17=4110,H17,0)+IF($F17=4120,H17,0)+IF($F17=4017,H17,0)+IF($F17=4117,H17,0)+IF($F17=4127,H17,0)+IF($F17=4019,H17,0)+IF($F17=4119,H17,0)+IF($F17=4129,H17,0)+IF($F17=4040,H17,0)+IF($F17=4047,H17,0)+IF($F17=4049,H17,0)</f>
        <v>0</v>
      </c>
      <c r="N17" s="180">
        <f>IF($B17=75022,G17,0)+IF($B17=75023,G17,0)</f>
        <v>0</v>
      </c>
      <c r="O17" s="180">
        <f>IF($B17=75022,H17,0)+IF($B17=75023,H17,0)</f>
        <v>0</v>
      </c>
    </row>
    <row r="18" spans="1:15" ht="12.75">
      <c r="A18" s="175"/>
      <c r="B18" s="176" t="s">
        <v>240</v>
      </c>
      <c r="C18" s="176"/>
      <c r="D18" s="177"/>
      <c r="E18" s="177"/>
      <c r="F18" s="178">
        <v>6050</v>
      </c>
      <c r="G18" s="177">
        <v>900000</v>
      </c>
      <c r="H18" s="177"/>
      <c r="I18" s="181"/>
      <c r="L18" s="180">
        <f>IF($F18=4170,G18,0)+IF($F18=4177,G18,0)+IF($F18=4179,G18,0)+IF($F18=4010,G18,0)+IF($F18=4110,G18,0)+IF($F18=4120,G18,0)+IF($F18=4017,G18,0)+IF($F18=4117,G18,0)+IF($F18=4127,G18,0)+IF($F18=4019,G18,0)+IF($F18=4119,G18,0)+IF($F18=4129,G18,0)+IF($F18=4040,G18,0)+IF($F18=4047,G18,0)+IF($F18=4049,G18,0)</f>
        <v>0</v>
      </c>
      <c r="M18" s="180">
        <f>IF($F18=4170,H18,0)+IF($F18=4177,H18,0)+IF($F18=4179,H18,0)+IF($F18=4010,H18,0)+IF($F18=4110,H18,0)+IF($F18=4120,H18,0)+IF($F18=4017,H18,0)+IF($F18=4117,H18,0)+IF($F18=4127,H18,0)+IF($F18=4019,H18,0)+IF($F18=4119,H18,0)+IF($F18=4129,H18,0)+IF($F18=4040,H18,0)+IF($F18=4047,H18,0)+IF($F18=4049,H18,0)</f>
        <v>0</v>
      </c>
      <c r="N18" s="180">
        <f>IF($B18=75022,G18,0)+IF($B18=75023,G18,0)</f>
        <v>0</v>
      </c>
      <c r="O18" s="180">
        <f>IF($B18=75022,H18,0)+IF($B18=75023,H18,0)</f>
        <v>0</v>
      </c>
    </row>
    <row r="19" spans="1:15" ht="12.75">
      <c r="A19" s="175"/>
      <c r="B19" s="176"/>
      <c r="C19" s="176"/>
      <c r="D19" s="177"/>
      <c r="E19" s="177"/>
      <c r="F19" s="178"/>
      <c r="G19" s="177"/>
      <c r="H19" s="177"/>
      <c r="I19" s="181"/>
      <c r="L19" s="180">
        <f>IF($F19=4170,G19,0)+IF($F19=4177,G19,0)+IF($F19=4179,G19,0)+IF($F19=4010,G19,0)+IF($F19=4110,G19,0)+IF($F19=4120,G19,0)+IF($F19=4017,G19,0)+IF($F19=4117,G19,0)+IF($F19=4127,G19,0)+IF($F19=4019,G19,0)+IF($F19=4119,G19,0)+IF($F19=4129,G19,0)+IF($F19=4040,G19,0)+IF($F19=4047,G19,0)+IF($F19=4049,G19,0)</f>
        <v>0</v>
      </c>
      <c r="M19" s="180">
        <f>IF($F19=4170,H19,0)+IF($F19=4177,H19,0)+IF($F19=4179,H19,0)+IF($F19=4010,H19,0)+IF($F19=4110,H19,0)+IF($F19=4120,H19,0)+IF($F19=4017,H19,0)+IF($F19=4117,H19,0)+IF($F19=4127,H19,0)+IF($F19=4019,H19,0)+IF($F19=4119,H19,0)+IF($F19=4129,H19,0)+IF($F19=4040,H19,0)+IF($F19=4047,H19,0)+IF($F19=4049,H19,0)</f>
        <v>0</v>
      </c>
      <c r="N19" s="180">
        <f>IF($B19=75022,G19,0)+IF($B19=75023,G19,0)</f>
        <v>0</v>
      </c>
      <c r="O19" s="180">
        <f>IF($B19=75022,H19,0)+IF($B19=75023,H19,0)</f>
        <v>0</v>
      </c>
    </row>
    <row r="20" spans="1:15" ht="12.75">
      <c r="A20" s="175"/>
      <c r="B20" s="176" t="s">
        <v>241</v>
      </c>
      <c r="C20" s="176"/>
      <c r="D20" s="177"/>
      <c r="E20" s="177"/>
      <c r="F20" s="178">
        <v>6050</v>
      </c>
      <c r="G20" s="177">
        <v>586427</v>
      </c>
      <c r="H20" s="177"/>
      <c r="I20" s="181"/>
      <c r="L20" s="180">
        <f>IF($F20=4170,G20,0)+IF($F20=4177,G20,0)+IF($F20=4179,G20,0)+IF($F20=4010,G20,0)+IF($F20=4110,G20,0)+IF($F20=4120,G20,0)+IF($F20=4017,G20,0)+IF($F20=4117,G20,0)+IF($F20=4127,G20,0)+IF($F20=4019,G20,0)+IF($F20=4119,G20,0)+IF($F20=4129,G20,0)+IF($F20=4040,G20,0)+IF($F20=4047,G20,0)+IF($F20=4049,G20,0)</f>
        <v>0</v>
      </c>
      <c r="M20" s="180">
        <f>IF($F20=4170,H20,0)+IF($F20=4177,H20,0)+IF($F20=4179,H20,0)+IF($F20=4010,H20,0)+IF($F20=4110,H20,0)+IF($F20=4120,H20,0)+IF($F20=4017,H20,0)+IF($F20=4117,H20,0)+IF($F20=4127,H20,0)+IF($F20=4019,H20,0)+IF($F20=4119,H20,0)+IF($F20=4129,H20,0)+IF($F20=4040,H20,0)+IF($F20=4047,H20,0)+IF($F20=4049,H20,0)</f>
        <v>0</v>
      </c>
      <c r="N20" s="180">
        <f>IF($B20=75022,G20,0)+IF($B20=75023,G20,0)</f>
        <v>0</v>
      </c>
      <c r="O20" s="180">
        <f>IF($B20=75022,H20,0)+IF($B20=75023,H20,0)</f>
        <v>0</v>
      </c>
    </row>
    <row r="21" spans="1:15" ht="12.75">
      <c r="A21" s="175"/>
      <c r="B21" s="176" t="s">
        <v>242</v>
      </c>
      <c r="C21" s="176" t="s">
        <v>243</v>
      </c>
      <c r="D21" s="177"/>
      <c r="E21" s="177">
        <v>29950</v>
      </c>
      <c r="F21" s="178">
        <v>2339</v>
      </c>
      <c r="G21" s="177"/>
      <c r="H21" s="177">
        <v>3575</v>
      </c>
      <c r="I21" s="181"/>
      <c r="L21" s="180">
        <f>IF($F21=4170,G21,0)+IF($F21=4177,G21,0)+IF($F21=4179,G21,0)+IF($F21=4010,G21,0)+IF($F21=4110,G21,0)+IF($F21=4120,G21,0)+IF($F21=4017,G21,0)+IF($F21=4117,G21,0)+IF($F21=4127,G21,0)+IF($F21=4019,G21,0)+IF($F21=4119,G21,0)+IF($F21=4129,G21,0)+IF($F21=4040,G21,0)+IF($F21=4047,G21,0)+IF($F21=4049,G21,0)</f>
        <v>0</v>
      </c>
      <c r="M21" s="180">
        <f>IF($F21=4170,H21,0)+IF($F21=4177,H21,0)+IF($F21=4179,H21,0)+IF($F21=4010,H21,0)+IF($F21=4110,H21,0)+IF($F21=4120,H21,0)+IF($F21=4017,H21,0)+IF($F21=4117,H21,0)+IF($F21=4127,H21,0)+IF($F21=4019,H21,0)+IF($F21=4119,H21,0)+IF($F21=4129,H21,0)+IF($F21=4040,H21,0)+IF($F21=4047,H21,0)+IF($F21=4049,H21,0)</f>
        <v>0</v>
      </c>
      <c r="N21" s="180">
        <f>IF($B21=75022,G21,0)+IF($B21=75023,G21,0)</f>
        <v>0</v>
      </c>
      <c r="O21" s="180">
        <f>IF($B21=75022,H21,0)+IF($B21=75023,H21,0)</f>
        <v>0</v>
      </c>
    </row>
    <row r="22" spans="1:15" ht="12.75">
      <c r="A22" s="175"/>
      <c r="B22" s="176"/>
      <c r="C22" s="176"/>
      <c r="D22" s="177"/>
      <c r="E22" s="177"/>
      <c r="F22" s="178">
        <v>4307</v>
      </c>
      <c r="G22" s="177"/>
      <c r="H22" s="177">
        <v>25330</v>
      </c>
      <c r="I22" s="181"/>
      <c r="L22" s="180">
        <f>IF($F22=4170,G22,0)+IF($F22=4177,G22,0)+IF($F22=4179,G22,0)+IF($F22=4010,G22,0)+IF($F22=4110,G22,0)+IF($F22=4120,G22,0)+IF($F22=4017,G22,0)+IF($F22=4117,G22,0)+IF($F22=4127,G22,0)+IF($F22=4019,G22,0)+IF($F22=4119,G22,0)+IF($F22=4129,G22,0)+IF($F22=4040,G22,0)+IF($F22=4047,G22,0)+IF($F22=4049,G22,0)</f>
        <v>0</v>
      </c>
      <c r="M22" s="180">
        <f>IF($F22=4170,H22,0)+IF($F22=4177,H22,0)+IF($F22=4179,H22,0)+IF($F22=4010,H22,0)+IF($F22=4110,H22,0)+IF($F22=4120,H22,0)+IF($F22=4017,H22,0)+IF($F22=4117,H22,0)+IF($F22=4127,H22,0)+IF($F22=4019,H22,0)+IF($F22=4119,H22,0)+IF($F22=4129,H22,0)+IF($F22=4040,H22,0)+IF($F22=4047,H22,0)+IF($F22=4049,H22,0)</f>
        <v>0</v>
      </c>
      <c r="N22" s="180">
        <f>IF($B22=75022,G22,0)+IF($B22=75023,G22,0)</f>
        <v>0</v>
      </c>
      <c r="O22" s="180">
        <f>IF($B22=75022,H22,0)+IF($B22=75023,H22,0)</f>
        <v>0</v>
      </c>
    </row>
    <row r="23" spans="1:15" ht="12.75">
      <c r="A23" s="175"/>
      <c r="B23" s="176"/>
      <c r="C23" s="176"/>
      <c r="D23" s="177"/>
      <c r="E23" s="177"/>
      <c r="F23" s="178">
        <v>4309</v>
      </c>
      <c r="G23" s="177"/>
      <c r="H23" s="177">
        <v>4470</v>
      </c>
      <c r="I23" s="181"/>
      <c r="L23" s="180">
        <f>IF($F23=4170,G23,0)+IF($F23=4177,G23,0)+IF($F23=4179,G23,0)+IF($F23=4010,G23,0)+IF($F23=4110,G23,0)+IF($F23=4120,G23,0)+IF($F23=4017,G23,0)+IF($F23=4117,G23,0)+IF($F23=4127,G23,0)+IF($F23=4019,G23,0)+IF($F23=4119,G23,0)+IF($F23=4129,G23,0)+IF($F23=4040,G23,0)+IF($F23=4047,G23,0)+IF($F23=4049,G23,0)</f>
        <v>0</v>
      </c>
      <c r="M23" s="180">
        <f>IF($F23=4170,H23,0)+IF($F23=4177,H23,0)+IF($F23=4179,H23,0)+IF($F23=4010,H23,0)+IF($F23=4110,H23,0)+IF($F23=4120,H23,0)+IF($F23=4017,H23,0)+IF($F23=4117,H23,0)+IF($F23=4127,H23,0)+IF($F23=4019,H23,0)+IF($F23=4119,H23,0)+IF($F23=4129,H23,0)+IF($F23=4040,H23,0)+IF($F23=4047,H23,0)+IF($F23=4049,H23,0)</f>
        <v>0</v>
      </c>
      <c r="N23" s="180">
        <f>IF($B23=75022,G23,0)+IF($B23=75023,G23,0)</f>
        <v>0</v>
      </c>
      <c r="O23" s="180">
        <f>IF($B23=75022,H23,0)+IF($B23=75023,H23,0)</f>
        <v>0</v>
      </c>
    </row>
    <row r="24" spans="1:15" ht="12.75">
      <c r="A24" s="175"/>
      <c r="B24" s="176"/>
      <c r="C24" s="176"/>
      <c r="D24" s="177"/>
      <c r="E24" s="177"/>
      <c r="F24" s="178">
        <v>4219</v>
      </c>
      <c r="G24" s="177">
        <v>3425</v>
      </c>
      <c r="H24" s="177"/>
      <c r="I24" s="181"/>
      <c r="L24" s="180">
        <f>IF($F24=4170,G24,0)+IF($F24=4177,G24,0)+IF($F24=4179,G24,0)+IF($F24=4010,G24,0)+IF($F24=4110,G24,0)+IF($F24=4120,G24,0)+IF($F24=4017,G24,0)+IF($F24=4117,G24,0)+IF($F24=4127,G24,0)+IF($F24=4019,G24,0)+IF($F24=4119,G24,0)+IF($F24=4129,G24,0)+IF($F24=4040,G24,0)+IF($F24=4047,G24,0)+IF($F24=4049,G24,0)</f>
        <v>0</v>
      </c>
      <c r="M24" s="180">
        <f>IF($F24=4170,H24,0)+IF($F24=4177,H24,0)+IF($F24=4179,H24,0)+IF($F24=4010,H24,0)+IF($F24=4110,H24,0)+IF($F24=4120,H24,0)+IF($F24=4017,H24,0)+IF($F24=4117,H24,0)+IF($F24=4127,H24,0)+IF($F24=4019,H24,0)+IF($F24=4119,H24,0)+IF($F24=4129,H24,0)+IF($F24=4040,H24,0)+IF($F24=4047,H24,0)+IF($F24=4049,H24,0)</f>
        <v>0</v>
      </c>
      <c r="N24" s="180">
        <f>IF($B24=75022,G24,0)+IF($B24=75023,G24,0)</f>
        <v>0</v>
      </c>
      <c r="O24" s="180">
        <f>IF($B24=75022,H24,0)+IF($B24=75023,H24,0)</f>
        <v>0</v>
      </c>
    </row>
    <row r="25" spans="1:15" ht="12.75">
      <c r="A25" s="175" t="s">
        <v>244</v>
      </c>
      <c r="B25" s="176"/>
      <c r="C25" s="176"/>
      <c r="D25" s="177"/>
      <c r="E25" s="177"/>
      <c r="F25" s="178"/>
      <c r="G25" s="177"/>
      <c r="H25" s="177"/>
      <c r="I25" s="181"/>
      <c r="L25" s="180">
        <f>IF($F25=4170,G25,0)+IF($F25=4177,G25,0)+IF($F25=4179,G25,0)+IF($F25=4010,G25,0)+IF($F25=4110,G25,0)+IF($F25=4120,G25,0)+IF($F25=4017,G25,0)+IF($F25=4117,G25,0)+IF($F25=4127,G25,0)+IF($F25=4019,G25,0)+IF($F25=4119,G25,0)+IF($F25=4129,G25,0)+IF($F25=4040,G25,0)+IF($F25=4047,G25,0)+IF($F25=4049,G25,0)</f>
        <v>0</v>
      </c>
      <c r="M25" s="180">
        <f>IF($F25=4170,H25,0)+IF($F25=4177,H25,0)+IF($F25=4179,H25,0)+IF($F25=4010,H25,0)+IF($F25=4110,H25,0)+IF($F25=4120,H25,0)+IF($F25=4017,H25,0)+IF($F25=4117,H25,0)+IF($F25=4127,H25,0)+IF($F25=4019,H25,0)+IF($F25=4119,H25,0)+IF($F25=4129,H25,0)+IF($F25=4040,H25,0)+IF($F25=4047,H25,0)+IF($F25=4049,H25,0)</f>
        <v>0</v>
      </c>
      <c r="N25" s="180">
        <f>IF($B25=75022,G25,0)+IF($B25=75023,G25,0)</f>
        <v>0</v>
      </c>
      <c r="O25" s="180">
        <f>IF($B25=75022,H25,0)+IF($B25=75023,H25,0)</f>
        <v>0</v>
      </c>
    </row>
    <row r="26" spans="1:15" ht="36.75">
      <c r="A26" s="175"/>
      <c r="B26" s="176" t="s">
        <v>245</v>
      </c>
      <c r="C26" s="176"/>
      <c r="D26" s="177"/>
      <c r="E26" s="177"/>
      <c r="F26" s="178">
        <v>3110</v>
      </c>
      <c r="G26" s="177">
        <v>30820</v>
      </c>
      <c r="H26" s="177"/>
      <c r="I26" s="181" t="s">
        <v>246</v>
      </c>
      <c r="L26" s="180">
        <f>IF($F26=4170,G26,0)+IF($F26=4177,G26,0)+IF($F26=4179,G26,0)+IF($F26=4010,G26,0)+IF($F26=4110,G26,0)+IF($F26=4120,G26,0)+IF($F26=4017,G26,0)+IF($F26=4117,G26,0)+IF($F26=4127,G26,0)+IF($F26=4019,G26,0)+IF($F26=4119,G26,0)+IF($F26=4129,G26,0)+IF($F26=4040,G26,0)+IF($F26=4047,G26,0)+IF($F26=4049,G26,0)</f>
        <v>0</v>
      </c>
      <c r="M26" s="180">
        <f>IF($F26=4170,H26,0)+IF($F26=4177,H26,0)+IF($F26=4179,H26,0)+IF($F26=4010,H26,0)+IF($F26=4110,H26,0)+IF($F26=4120,H26,0)+IF($F26=4017,H26,0)+IF($F26=4117,H26,0)+IF($F26=4127,H26,0)+IF($F26=4019,H26,0)+IF($F26=4119,H26,0)+IF($F26=4129,H26,0)+IF($F26=4040,H26,0)+IF($F26=4047,H26,0)+IF($F26=4049,H26,0)</f>
        <v>0</v>
      </c>
      <c r="N26" s="180">
        <f>IF($B26=75022,G26,0)+IF($B26=75023,G26,0)</f>
        <v>0</v>
      </c>
      <c r="O26" s="180">
        <f>IF($B26=75022,H26,0)+IF($B26=75023,H26,0)</f>
        <v>0</v>
      </c>
    </row>
    <row r="27" spans="1:15" ht="12.75">
      <c r="A27" s="175"/>
      <c r="B27" s="176" t="s">
        <v>247</v>
      </c>
      <c r="C27" s="176"/>
      <c r="D27" s="177"/>
      <c r="E27" s="177"/>
      <c r="F27" s="178">
        <v>4210</v>
      </c>
      <c r="G27" s="177">
        <v>64</v>
      </c>
      <c r="H27" s="177"/>
      <c r="I27" s="181"/>
      <c r="L27" s="180">
        <f>IF($F27=4170,G27,0)+IF($F27=4177,G27,0)+IF($F27=4179,G27,0)+IF($F27=4010,G27,0)+IF($F27=4110,G27,0)+IF($F27=4120,G27,0)+IF($F27=4017,G27,0)+IF($F27=4117,G27,0)+IF($F27=4127,G27,0)+IF($F27=4019,G27,0)+IF($F27=4119,G27,0)+IF($F27=4129,G27,0)+IF($F27=4040,G27,0)+IF($F27=4047,G27,0)+IF($F27=4049,G27,0)</f>
        <v>0</v>
      </c>
      <c r="M27" s="180">
        <f>IF($F27=4170,H27,0)+IF($F27=4177,H27,0)+IF($F27=4179,H27,0)+IF($F27=4010,H27,0)+IF($F27=4110,H27,0)+IF($F27=4120,H27,0)+IF($F27=4017,H27,0)+IF($F27=4117,H27,0)+IF($F27=4127,H27,0)+IF($F27=4019,H27,0)+IF($F27=4119,H27,0)+IF($F27=4129,H27,0)+IF($F27=4040,H27,0)+IF($F27=4047,H27,0)+IF($F27=4049,H27,0)</f>
        <v>0</v>
      </c>
      <c r="N27" s="180">
        <f>IF($B27=75022,G27,0)+IF($B27=75023,G27,0)</f>
        <v>0</v>
      </c>
      <c r="O27" s="180">
        <f>IF($B27=75022,H27,0)+IF($B27=75023,H27,0)</f>
        <v>0</v>
      </c>
    </row>
    <row r="28" spans="1:15" ht="12.75">
      <c r="A28" s="175"/>
      <c r="B28" s="176"/>
      <c r="C28" s="176"/>
      <c r="D28" s="177"/>
      <c r="E28" s="177"/>
      <c r="F28" s="178"/>
      <c r="G28" s="177"/>
      <c r="H28" s="177"/>
      <c r="I28" s="179"/>
      <c r="L28" s="180">
        <f>IF($F28=4170,G28,0)+IF($F28=4177,G28,0)+IF($F28=4179,G28,0)+IF($F28=4010,G28,0)+IF($F28=4110,G28,0)+IF($F28=4120,G28,0)+IF($F28=4017,G28,0)+IF($F28=4117,G28,0)+IF($F28=4127,G28,0)+IF($F28=4019,G28,0)+IF($F28=4119,G28,0)+IF($F28=4129,G28,0)+IF($F28=4040,G28,0)+IF($F28=4047,G28,0)+IF($F28=4049,G28,0)</f>
        <v>0</v>
      </c>
      <c r="M28" s="180">
        <f>IF($F28=4170,H28,0)+IF($F28=4177,H28,0)+IF($F28=4179,H28,0)+IF($F28=4010,H28,0)+IF($F28=4110,H28,0)+IF($F28=4120,H28,0)+IF($F28=4017,H28,0)+IF($F28=4117,H28,0)+IF($F28=4127,H28,0)+IF($F28=4019,H28,0)+IF($F28=4119,H28,0)+IF($F28=4129,H28,0)+IF($F28=4040,H28,0)+IF($F28=4047,H28,0)+IF($F28=4049,H28,0)</f>
        <v>0</v>
      </c>
      <c r="N28" s="180">
        <f>IF($B28=75022,G28,0)+IF($B28=75023,G28,0)</f>
        <v>0</v>
      </c>
      <c r="O28" s="180">
        <f>IF($B28=75022,H28,0)+IF($B28=75023,H28,0)</f>
        <v>0</v>
      </c>
    </row>
    <row r="29" spans="1:15" ht="12.75">
      <c r="A29" s="175"/>
      <c r="B29" s="176" t="s">
        <v>248</v>
      </c>
      <c r="C29" s="182"/>
      <c r="D29" s="177"/>
      <c r="E29" s="177"/>
      <c r="F29" s="178">
        <v>3119</v>
      </c>
      <c r="G29" s="177"/>
      <c r="H29" s="177">
        <v>30820</v>
      </c>
      <c r="I29" s="179"/>
      <c r="L29" s="180">
        <f>IF($F29=4170,G29,0)+IF($F29=4177,G29,0)+IF($F29=4179,G29,0)+IF($F29=4010,G29,0)+IF($F29=4110,G29,0)+IF($F29=4120,G29,0)+IF($F29=4017,G29,0)+IF($F29=4117,G29,0)+IF($F29=4127,G29,0)+IF($F29=4019,G29,0)+IF($F29=4119,G29,0)+IF($F29=4129,G29,0)+IF($F29=4040,G29,0)+IF($F29=4047,G29,0)+IF($F29=4049,G29,0)</f>
        <v>0</v>
      </c>
      <c r="M29" s="180">
        <f>IF($F29=4170,H29,0)+IF($F29=4177,H29,0)+IF($F29=4179,H29,0)+IF($F29=4010,H29,0)+IF($F29=4110,H29,0)+IF($F29=4120,H29,0)+IF($F29=4017,H29,0)+IF($F29=4117,H29,0)+IF($F29=4127,H29,0)+IF($F29=4019,H29,0)+IF($F29=4119,H29,0)+IF($F29=4129,H29,0)+IF($F29=4040,H29,0)+IF($F29=4047,H29,0)+IF($F29=4049,H29,0)</f>
        <v>0</v>
      </c>
      <c r="N29" s="180">
        <f>IF($B29=75022,G29,0)+IF($B29=75023,G29,0)</f>
        <v>0</v>
      </c>
      <c r="O29" s="180">
        <f>IF($B29=75022,H29,0)+IF($B29=75023,H29,0)</f>
        <v>0</v>
      </c>
    </row>
    <row r="30" spans="1:15" ht="12.75">
      <c r="A30" s="175"/>
      <c r="B30" s="176"/>
      <c r="C30" s="182"/>
      <c r="D30" s="177"/>
      <c r="E30" s="177"/>
      <c r="F30" s="178">
        <v>4219</v>
      </c>
      <c r="G30" s="177"/>
      <c r="H30" s="177">
        <v>64</v>
      </c>
      <c r="I30" s="183"/>
      <c r="J30" s="149"/>
      <c r="L30" s="180">
        <f>IF($F30=4170,G30,0)+IF($F30=4177,G30,0)+IF($F30=4179,G30,0)+IF($F30=4010,G30,0)+IF($F30=4110,G30,0)+IF($F30=4120,G30,0)+IF($F30=4017,G30,0)+IF($F30=4117,G30,0)+IF($F30=4127,G30,0)+IF($F30=4019,G30,0)+IF($F30=4119,G30,0)+IF($F30=4129,G30,0)+IF($F30=4040,G30,0)+IF($F30=4047,G30,0)+IF($F30=4049,G30,0)</f>
        <v>0</v>
      </c>
      <c r="M30" s="180">
        <f>IF($F30=4170,H30,0)+IF($F30=4177,H30,0)+IF($F30=4179,H30,0)+IF($F30=4010,H30,0)+IF($F30=4110,H30,0)+IF($F30=4120,H30,0)+IF($F30=4017,H30,0)+IF($F30=4117,H30,0)+IF($F30=4127,H30,0)+IF($F30=4019,H30,0)+IF($F30=4119,H30,0)+IF($F30=4129,H30,0)+IF($F30=4040,H30,0)+IF($F30=4047,H30,0)+IF($F30=4049,H30,0)</f>
        <v>0</v>
      </c>
      <c r="N30" s="180">
        <f>IF($B30=75022,G30,0)+IF($B30=75023,G30,0)</f>
        <v>0</v>
      </c>
      <c r="O30" s="180">
        <f>IF($B30=75022,H30,0)+IF($B30=75023,H30,0)</f>
        <v>0</v>
      </c>
    </row>
    <row r="31" spans="1:15" ht="12.75">
      <c r="A31" s="175"/>
      <c r="B31" s="176"/>
      <c r="C31" s="184"/>
      <c r="D31" s="177"/>
      <c r="E31" s="177"/>
      <c r="F31" s="178"/>
      <c r="G31" s="177"/>
      <c r="H31" s="177"/>
      <c r="I31" s="179"/>
      <c r="L31" s="180">
        <f>IF($F31=4170,G31,0)+IF($F31=4177,G31,0)+IF($F31=4179,G31,0)+IF($F31=4010,G31,0)+IF($F31=4110,G31,0)+IF($F31=4120,G31,0)+IF($F31=4017,G31,0)+IF($F31=4117,G31,0)+IF($F31=4127,G31,0)+IF($F31=4019,G31,0)+IF($F31=4119,G31,0)+IF($F31=4129,G31,0)+IF($F31=4040,G31,0)+IF($F31=4047,G31,0)+IF($F31=4049,G31,0)</f>
        <v>0</v>
      </c>
      <c r="M31" s="180">
        <f>IF($F31=4170,H31,0)+IF($F31=4177,H31,0)+IF($F31=4179,H31,0)+IF($F31=4010,H31,0)+IF($F31=4110,H31,0)+IF($F31=4120,H31,0)+IF($F31=4017,H31,0)+IF($F31=4117,H31,0)+IF($F31=4127,H31,0)+IF($F31=4019,H31,0)+IF($F31=4119,H31,0)+IF($F31=4129,H31,0)+IF($F31=4040,H31,0)+IF($F31=4047,H31,0)+IF($F31=4049,H31,0)</f>
        <v>0</v>
      </c>
      <c r="N31" s="180">
        <f>IF($B31=75022,G31,0)+IF($B31=75023,G31,0)</f>
        <v>0</v>
      </c>
      <c r="O31" s="180">
        <f>IF($B31=75022,H31,0)+IF($B31=75023,H31,0)</f>
        <v>0</v>
      </c>
    </row>
    <row r="32" spans="1:15" ht="12.75">
      <c r="A32" s="175"/>
      <c r="B32" s="176"/>
      <c r="C32" s="184"/>
      <c r="D32" s="177"/>
      <c r="E32" s="177"/>
      <c r="F32" s="178"/>
      <c r="G32" s="177"/>
      <c r="H32" s="177"/>
      <c r="I32" s="179"/>
      <c r="L32" s="180">
        <f>IF($F32=4170,G32,0)+IF($F32=4177,G32,0)+IF($F32=4179,G32,0)+IF($F32=4010,G32,0)+IF($F32=4110,G32,0)+IF($F32=4120,G32,0)+IF($F32=4017,G32,0)+IF($F32=4117,G32,0)+IF($F32=4127,G32,0)+IF($F32=4019,G32,0)+IF($F32=4119,G32,0)+IF($F32=4129,G32,0)+IF($F32=4040,G32,0)+IF($F32=4047,G32,0)+IF($F32=4049,G32,0)</f>
        <v>0</v>
      </c>
      <c r="M32" s="180">
        <f>IF($F32=4170,H32,0)+IF($F32=4177,H32,0)+IF($F32=4179,H32,0)+IF($F32=4010,H32,0)+IF($F32=4110,H32,0)+IF($F32=4120,H32,0)+IF($F32=4017,H32,0)+IF($F32=4117,H32,0)+IF($F32=4127,H32,0)+IF($F32=4019,H32,0)+IF($F32=4119,H32,0)+IF($F32=4129,H32,0)+IF($F32=4040,H32,0)+IF($F32=4047,H32,0)+IF($F32=4049,H32,0)</f>
        <v>0</v>
      </c>
      <c r="N32" s="180">
        <f>IF($B32=75022,G32,0)+IF($B32=75023,G32,0)</f>
        <v>0</v>
      </c>
      <c r="O32" s="180">
        <f>IF($B32=75022,H32,0)+IF($B32=75023,H32,0)</f>
        <v>0</v>
      </c>
    </row>
    <row r="33" spans="1:15" ht="12.75">
      <c r="A33" s="175"/>
      <c r="B33" s="176"/>
      <c r="C33" s="184"/>
      <c r="D33" s="177"/>
      <c r="E33" s="177"/>
      <c r="F33" s="178"/>
      <c r="G33" s="177"/>
      <c r="H33" s="177"/>
      <c r="I33" s="179"/>
      <c r="L33" s="180">
        <f>IF($F33=4170,G33,0)+IF($F33=4177,G33,0)+IF($F33=4179,G33,0)+IF($F33=4010,G33,0)+IF($F33=4110,G33,0)+IF($F33=4120,G33,0)+IF($F33=4017,G33,0)+IF($F33=4117,G33,0)+IF($F33=4127,G33,0)+IF($F33=4019,G33,0)+IF($F33=4119,G33,0)+IF($F33=4129,G33,0)+IF($F33=4040,G33,0)+IF($F33=4047,G33,0)+IF($F33=4049,G33,0)</f>
        <v>0</v>
      </c>
      <c r="M33" s="180">
        <f>IF($F33=4170,H33,0)+IF($F33=4177,H33,0)+IF($F33=4179,H33,0)+IF($F33=4010,H33,0)+IF($F33=4110,H33,0)+IF($F33=4120,H33,0)+IF($F33=4017,H33,0)+IF($F33=4117,H33,0)+IF($F33=4127,H33,0)+IF($F33=4019,H33,0)+IF($F33=4119,H33,0)+IF($F33=4129,H33,0)+IF($F33=4040,H33,0)+IF($F33=4047,H33,0)+IF($F33=4049,H33,0)</f>
        <v>0</v>
      </c>
      <c r="N33" s="180">
        <f>IF($B33=75022,G33,0)+IF($B33=75023,G33,0)</f>
        <v>0</v>
      </c>
      <c r="O33" s="180">
        <f>IF($B33=75022,H33,0)+IF($B33=75023,H33,0)</f>
        <v>0</v>
      </c>
    </row>
    <row r="34" spans="1:15" ht="12.75" customHeight="1">
      <c r="A34" s="175"/>
      <c r="B34" s="185"/>
      <c r="C34" s="186"/>
      <c r="D34" s="187"/>
      <c r="E34" s="187"/>
      <c r="F34" s="188"/>
      <c r="G34" s="187"/>
      <c r="H34" s="187"/>
      <c r="I34" s="179"/>
      <c r="L34" s="180">
        <f>IF($F34=4170,G34,0)+IF($F34=4177,G34,0)+IF($F34=4179,G34,0)+IF($F34=4010,G34,0)+IF($F34=4110,G34,0)+IF($F34=4120,G34,0)+IF($F34=4017,G34,0)+IF($F34=4117,G34,0)+IF($F34=4127,G34,0)+IF($F34=4019,G34,0)+IF($F34=4119,G34,0)+IF($F34=4129,G34,0)+IF($F34=4040,G34,0)+IF($F34=4047,G34,0)+IF($F34=4049,G34,0)</f>
        <v>0</v>
      </c>
      <c r="M34" s="180">
        <f>IF($F34=4170,H34,0)+IF($F34=4177,H34,0)+IF($F34=4179,H34,0)+IF($F34=4010,H34,0)+IF($F34=4110,H34,0)+IF($F34=4120,H34,0)+IF($F34=4017,H34,0)+IF($F34=4117,H34,0)+IF($F34=4127,H34,0)+IF($F34=4019,H34,0)+IF($F34=4119,H34,0)+IF($F34=4129,H34,0)+IF($F34=4040,H34,0)+IF($F34=4047,H34,0)+IF($F34=4049,H34,0)</f>
        <v>0</v>
      </c>
      <c r="N34" s="180">
        <f>IF($B34=75022,G34,0)+IF($B34=75023,G34,0)</f>
        <v>0</v>
      </c>
      <c r="O34" s="180">
        <f>IF($B34=75022,H34,0)+IF($B34=75023,H34,0)</f>
        <v>0</v>
      </c>
    </row>
    <row r="35" spans="1:8" ht="15">
      <c r="A35" s="189" t="s">
        <v>249</v>
      </c>
      <c r="B35" s="190"/>
      <c r="C35" s="190"/>
      <c r="D35" s="191">
        <f>SUM(D4:D34)</f>
        <v>1958155</v>
      </c>
      <c r="E35" s="191">
        <f>SUM(E4:E34)</f>
        <v>1109950</v>
      </c>
      <c r="F35" s="192"/>
      <c r="G35" s="191">
        <f>SUM(G4:G34)</f>
        <v>3712464</v>
      </c>
      <c r="H35" s="191">
        <f>SUM(H4:H34)</f>
        <v>2864259</v>
      </c>
    </row>
    <row r="36" spans="1:8" ht="15" customHeight="1">
      <c r="A36" s="193" t="s">
        <v>250</v>
      </c>
      <c r="B36" s="193" t="s">
        <v>251</v>
      </c>
      <c r="C36" s="194"/>
      <c r="D36" s="195">
        <f>SUM(E35-D35)</f>
        <v>-848205</v>
      </c>
      <c r="E36" s="195"/>
      <c r="F36" s="194"/>
      <c r="G36" s="195">
        <f>SUM(H35-G35)</f>
        <v>-848205</v>
      </c>
      <c r="H36" s="195"/>
    </row>
    <row r="37" spans="1:8" ht="15">
      <c r="A37" s="193"/>
      <c r="B37" s="193"/>
      <c r="C37" s="194"/>
      <c r="D37" s="195"/>
      <c r="E37" s="195"/>
      <c r="F37" s="194"/>
      <c r="G37" s="195"/>
      <c r="H37" s="195"/>
    </row>
    <row r="38" spans="1:4" ht="15">
      <c r="A38" s="196" t="s">
        <v>252</v>
      </c>
      <c r="B38" s="196"/>
      <c r="C38" s="196"/>
      <c r="D38" s="197">
        <f>SUM(G36-D36)</f>
        <v>0</v>
      </c>
    </row>
    <row r="39" spans="2:15" ht="15" customHeight="1">
      <c r="B39" s="178" t="s">
        <v>253</v>
      </c>
      <c r="C39" s="178"/>
      <c r="D39" s="178"/>
      <c r="E39" s="198" t="s">
        <v>254</v>
      </c>
      <c r="F39" s="198"/>
      <c r="G39" s="199">
        <f>L39</f>
        <v>0</v>
      </c>
      <c r="H39" s="200">
        <f>M39</f>
        <v>0</v>
      </c>
      <c r="L39" s="201">
        <f>SUM(L4:L34)</f>
        <v>0</v>
      </c>
      <c r="M39" s="201">
        <f>SUM(M4:M34)</f>
        <v>0</v>
      </c>
      <c r="N39" s="201">
        <f>SUM(N4:N34)</f>
        <v>0</v>
      </c>
      <c r="O39" s="201">
        <f>SUM(O4:O34)</f>
        <v>0</v>
      </c>
    </row>
    <row r="40" spans="2:8" ht="15" customHeight="1">
      <c r="B40" s="178" t="s">
        <v>255</v>
      </c>
      <c r="C40" s="178"/>
      <c r="D40" s="178"/>
      <c r="E40" s="202" t="s">
        <v>256</v>
      </c>
      <c r="F40" s="202"/>
      <c r="G40" s="203">
        <f>SUM(H39-G39)</f>
        <v>0</v>
      </c>
      <c r="H40" s="203"/>
    </row>
    <row r="41" spans="2:6" ht="12.75">
      <c r="B41" s="178" t="s">
        <v>257</v>
      </c>
      <c r="C41" s="178"/>
      <c r="D41" s="178"/>
      <c r="E41" s="204" t="s">
        <v>258</v>
      </c>
      <c r="F41" s="204"/>
    </row>
    <row r="42" spans="2:8" ht="14.25" customHeight="1">
      <c r="B42" s="205" t="s">
        <v>259</v>
      </c>
      <c r="C42" s="205"/>
      <c r="D42" s="205"/>
      <c r="E42" s="198" t="s">
        <v>260</v>
      </c>
      <c r="F42" s="198"/>
      <c r="G42" s="199">
        <f>N39</f>
        <v>0</v>
      </c>
      <c r="H42" s="199">
        <f>O39</f>
        <v>0</v>
      </c>
    </row>
    <row r="43" spans="2:8" ht="12.75" customHeight="1">
      <c r="B43" s="205" t="s">
        <v>261</v>
      </c>
      <c r="C43" s="205"/>
      <c r="D43" s="205"/>
      <c r="E43" s="202" t="s">
        <v>256</v>
      </c>
      <c r="F43" s="202"/>
      <c r="G43" s="203">
        <f>SUM(H42-G42)</f>
        <v>0</v>
      </c>
      <c r="H43" s="203"/>
    </row>
    <row r="44" spans="2:8" ht="14.25" customHeight="1">
      <c r="B44" s="205" t="s">
        <v>262</v>
      </c>
      <c r="C44" s="205"/>
      <c r="D44" s="205"/>
      <c r="E44" s="206" t="s">
        <v>263</v>
      </c>
      <c r="F44" s="206"/>
      <c r="G44" s="135"/>
      <c r="H44" s="135"/>
    </row>
    <row r="45" spans="2:8" ht="13.5" customHeight="1">
      <c r="B45" s="205" t="s">
        <v>264</v>
      </c>
      <c r="C45" s="205"/>
      <c r="D45" s="205"/>
      <c r="E45" s="206"/>
      <c r="F45" s="206"/>
      <c r="G45" s="135"/>
      <c r="H45" s="135"/>
    </row>
    <row r="46" spans="2:5" ht="12.75" customHeight="1">
      <c r="B46" s="205"/>
      <c r="C46" s="205"/>
      <c r="D46" s="205"/>
      <c r="E46" t="s">
        <v>265</v>
      </c>
    </row>
    <row r="47" spans="4:8" ht="12.75" customHeight="1">
      <c r="D47" s="207" t="s">
        <v>266</v>
      </c>
      <c r="E47" s="207"/>
      <c r="G47" s="207" t="s">
        <v>267</v>
      </c>
      <c r="H47" s="207"/>
    </row>
    <row r="48" spans="4:8" ht="12.75">
      <c r="D48" s="208">
        <f>SUM(D16)</f>
        <v>1958155</v>
      </c>
      <c r="E48" s="208">
        <f>SUM(E6)</f>
        <v>1080000</v>
      </c>
      <c r="G48" s="208">
        <f>SUM(G15,G16,G18,G20)</f>
        <v>3658155</v>
      </c>
      <c r="H48" s="208">
        <f>SUM(H13)</f>
        <v>1700000</v>
      </c>
    </row>
    <row r="49" spans="1:8" ht="24.75" customHeight="1">
      <c r="A49" s="209" t="s">
        <v>268</v>
      </c>
      <c r="B49" s="209"/>
      <c r="C49" s="209"/>
      <c r="D49" s="210">
        <f>SUM(E48-D48)</f>
        <v>-878155</v>
      </c>
      <c r="E49" s="210"/>
      <c r="F49" s="211"/>
      <c r="G49" s="210">
        <f>SUM(H48-G48)</f>
        <v>-1958155</v>
      </c>
      <c r="H49" s="210"/>
    </row>
    <row r="51" spans="4:8" ht="12.75" customHeight="1">
      <c r="D51" s="207" t="s">
        <v>269</v>
      </c>
      <c r="E51" s="207"/>
      <c r="G51" s="207" t="s">
        <v>270</v>
      </c>
      <c r="H51" s="207"/>
    </row>
    <row r="52" spans="4:8" ht="12.75">
      <c r="D52" s="212">
        <f>SUM(D35-D48)</f>
        <v>0</v>
      </c>
      <c r="E52" s="212">
        <f>SUM(E35-E48)</f>
        <v>29950</v>
      </c>
      <c r="G52" s="212">
        <f>SUM(G35-G48)</f>
        <v>54309</v>
      </c>
      <c r="H52" s="212">
        <f>SUM(H35-H48)</f>
        <v>1164259</v>
      </c>
    </row>
    <row r="53" spans="1:8" ht="24.75" customHeight="1">
      <c r="A53" s="209" t="s">
        <v>268</v>
      </c>
      <c r="B53" s="209"/>
      <c r="C53" s="209"/>
      <c r="D53" s="210">
        <f>SUM(E52-D52)</f>
        <v>29950</v>
      </c>
      <c r="E53" s="210"/>
      <c r="F53" s="211"/>
      <c r="G53" s="210">
        <f>SUM(H52-G52)</f>
        <v>1109950</v>
      </c>
      <c r="H53" s="210"/>
    </row>
    <row r="55" spans="2:8" ht="12.75" customHeight="1">
      <c r="B55" s="213" t="s">
        <v>271</v>
      </c>
      <c r="C55" s="213"/>
      <c r="D55" s="214">
        <f>SUM(D49+D53)</f>
        <v>-848205</v>
      </c>
      <c r="E55" s="214"/>
      <c r="F55" s="135"/>
      <c r="G55" s="214">
        <f>SUM(G49+G53)</f>
        <v>-848205</v>
      </c>
      <c r="H55" s="214"/>
    </row>
    <row r="56" ht="12.75">
      <c r="F56" s="180"/>
    </row>
    <row r="57" spans="1:8" ht="24.75" customHeight="1">
      <c r="A57" s="215" t="s">
        <v>272</v>
      </c>
      <c r="B57" s="215"/>
      <c r="C57" s="215"/>
      <c r="D57" s="216">
        <f>ABS(D49+D53)</f>
        <v>848205</v>
      </c>
      <c r="E57" s="216"/>
      <c r="F57" s="135"/>
      <c r="G57" s="216">
        <f>ABS(G49+G53)</f>
        <v>848205</v>
      </c>
      <c r="H57" s="216"/>
    </row>
    <row r="65" ht="60.75">
      <c r="B65" s="217" t="s">
        <v>273</v>
      </c>
    </row>
  </sheetData>
  <sheetProtection selectLockedCells="1" selectUnlockedCells="1"/>
  <mergeCells count="40">
    <mergeCell ref="A1:H1"/>
    <mergeCell ref="C2:E2"/>
    <mergeCell ref="F2:H2"/>
    <mergeCell ref="L3:M3"/>
    <mergeCell ref="N3:O3"/>
    <mergeCell ref="D36:E36"/>
    <mergeCell ref="G36:H36"/>
    <mergeCell ref="A38:C38"/>
    <mergeCell ref="B39:D39"/>
    <mergeCell ref="E39:F39"/>
    <mergeCell ref="B40:D40"/>
    <mergeCell ref="E40:F40"/>
    <mergeCell ref="G40:H40"/>
    <mergeCell ref="B41:D41"/>
    <mergeCell ref="E41:F41"/>
    <mergeCell ref="B42:D42"/>
    <mergeCell ref="E42:F42"/>
    <mergeCell ref="B43:D43"/>
    <mergeCell ref="E43:F43"/>
    <mergeCell ref="G43:H43"/>
    <mergeCell ref="B44:D44"/>
    <mergeCell ref="E44:F44"/>
    <mergeCell ref="B45:D45"/>
    <mergeCell ref="B46:D46"/>
    <mergeCell ref="D47:E47"/>
    <mergeCell ref="G47:H47"/>
    <mergeCell ref="A49:C49"/>
    <mergeCell ref="D49:E49"/>
    <mergeCell ref="G49:H49"/>
    <mergeCell ref="D51:E51"/>
    <mergeCell ref="G51:H51"/>
    <mergeCell ref="A53:C53"/>
    <mergeCell ref="D53:E53"/>
    <mergeCell ref="G53:H53"/>
    <mergeCell ref="B55:C55"/>
    <mergeCell ref="D55:E55"/>
    <mergeCell ref="G55:H55"/>
    <mergeCell ref="A57:C57"/>
    <mergeCell ref="D57:E57"/>
    <mergeCell ref="G57:H57"/>
  </mergeCells>
  <printOptions/>
  <pageMargins left="0.39375" right="0.2361111111111111" top="0.2361111111111111" bottom="0.2361111111111111" header="0.5118055555555555" footer="0.5118055555555555"/>
  <pageSetup horizontalDpi="300" verticalDpi="3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42"/>
  <sheetViews>
    <sheetView workbookViewId="0" topLeftCell="A1">
      <selection activeCell="E33" sqref="E33"/>
    </sheetView>
  </sheetViews>
  <sheetFormatPr defaultColWidth="12.57421875" defaultRowHeight="12.75"/>
  <cols>
    <col min="1" max="1" width="5.00390625" style="0" customWidth="1"/>
    <col min="2" max="2" width="41.8515625" style="0" customWidth="1"/>
    <col min="3" max="12" width="14.140625" style="0" customWidth="1"/>
    <col min="13" max="20" width="13.00390625" style="0" customWidth="1"/>
    <col min="21" max="24" width="15.140625" style="0" customWidth="1"/>
    <col min="25" max="16384" width="11.57421875" style="0" customWidth="1"/>
  </cols>
  <sheetData>
    <row r="1" spans="1:24" ht="17.25" customHeight="1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9"/>
      <c r="W1" s="219" t="s">
        <v>274</v>
      </c>
      <c r="X1" s="219"/>
    </row>
    <row r="2" spans="1:24" ht="27.75" customHeight="1">
      <c r="A2" s="218" t="s">
        <v>275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9"/>
      <c r="W2" s="219"/>
      <c r="X2" s="219"/>
    </row>
    <row r="3" spans="1:24" ht="12.75">
      <c r="A3" s="220"/>
      <c r="B3" s="221"/>
      <c r="C3" s="221"/>
      <c r="D3" s="221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 t="s">
        <v>276</v>
      </c>
    </row>
    <row r="4" spans="1:24" ht="15.75" customHeight="1">
      <c r="A4" s="223" t="s">
        <v>277</v>
      </c>
      <c r="B4" s="224" t="s">
        <v>278</v>
      </c>
      <c r="C4" s="225" t="s">
        <v>279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</row>
    <row r="5" spans="1:24" ht="15.75" customHeight="1">
      <c r="A5" s="223"/>
      <c r="B5" s="224"/>
      <c r="C5" s="224"/>
      <c r="D5" s="224">
        <v>2012</v>
      </c>
      <c r="E5" s="224">
        <v>2013</v>
      </c>
      <c r="F5" s="224">
        <v>2014</v>
      </c>
      <c r="G5" s="224">
        <v>2015</v>
      </c>
      <c r="H5" s="224">
        <v>2016</v>
      </c>
      <c r="I5" s="224">
        <v>2017</v>
      </c>
      <c r="J5" s="224">
        <v>2018</v>
      </c>
      <c r="K5" s="224">
        <v>2019</v>
      </c>
      <c r="L5" s="224">
        <v>2020</v>
      </c>
      <c r="M5" s="224">
        <v>2021</v>
      </c>
      <c r="N5" s="224">
        <v>2022</v>
      </c>
      <c r="O5" s="224">
        <v>2023</v>
      </c>
      <c r="P5" s="224">
        <v>2024</v>
      </c>
      <c r="Q5" s="224">
        <v>2025</v>
      </c>
      <c r="R5" s="224">
        <v>2026</v>
      </c>
      <c r="S5" s="224">
        <v>2027</v>
      </c>
      <c r="T5" s="224">
        <v>2028</v>
      </c>
      <c r="U5" s="224">
        <v>2029</v>
      </c>
      <c r="V5" s="224">
        <v>2030</v>
      </c>
      <c r="W5" s="224">
        <v>2031</v>
      </c>
      <c r="X5" s="224">
        <v>2032</v>
      </c>
    </row>
    <row r="6" spans="1:24" ht="15.75" customHeight="1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</row>
    <row r="7" spans="1:24" ht="15.75" customHeight="1">
      <c r="A7" s="223"/>
      <c r="B7" s="224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</row>
    <row r="8" spans="1:24" ht="15.75" customHeight="1">
      <c r="A8" s="223"/>
      <c r="B8" s="224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</row>
    <row r="9" spans="1:24" ht="7.5" customHeight="1">
      <c r="A9" s="226">
        <v>1</v>
      </c>
      <c r="B9" s="226">
        <v>2</v>
      </c>
      <c r="C9" s="226">
        <v>3</v>
      </c>
      <c r="D9" s="226">
        <v>5</v>
      </c>
      <c r="E9" s="226">
        <v>6</v>
      </c>
      <c r="F9" s="226">
        <v>6</v>
      </c>
      <c r="G9" s="226">
        <v>6</v>
      </c>
      <c r="H9" s="226">
        <v>6</v>
      </c>
      <c r="I9" s="226">
        <v>6</v>
      </c>
      <c r="J9" s="226">
        <v>6</v>
      </c>
      <c r="K9" s="226">
        <v>6</v>
      </c>
      <c r="L9" s="226">
        <v>6</v>
      </c>
      <c r="M9" s="226">
        <v>6</v>
      </c>
      <c r="N9" s="226">
        <v>6</v>
      </c>
      <c r="O9" s="226">
        <v>6</v>
      </c>
      <c r="P9" s="226">
        <v>6</v>
      </c>
      <c r="Q9" s="226">
        <v>6</v>
      </c>
      <c r="R9" s="226">
        <v>6</v>
      </c>
      <c r="S9" s="226">
        <v>6</v>
      </c>
      <c r="T9" s="226">
        <v>6</v>
      </c>
      <c r="U9" s="226">
        <v>6</v>
      </c>
      <c r="V9" s="226">
        <v>6</v>
      </c>
      <c r="W9" s="226">
        <v>6</v>
      </c>
      <c r="X9" s="226">
        <v>6</v>
      </c>
    </row>
    <row r="10" spans="1:24" ht="19.5" customHeight="1">
      <c r="A10" s="227" t="s">
        <v>280</v>
      </c>
      <c r="B10" s="228" t="s">
        <v>281</v>
      </c>
      <c r="C10" s="229">
        <v>0</v>
      </c>
      <c r="D10" s="229">
        <v>0</v>
      </c>
      <c r="E10" s="229">
        <v>0</v>
      </c>
      <c r="F10" s="229">
        <v>0</v>
      </c>
      <c r="G10" s="229">
        <v>0</v>
      </c>
      <c r="H10" s="229">
        <v>0</v>
      </c>
      <c r="I10" s="229">
        <v>0</v>
      </c>
      <c r="J10" s="229">
        <v>0</v>
      </c>
      <c r="K10" s="229">
        <v>0</v>
      </c>
      <c r="L10" s="229">
        <v>0</v>
      </c>
      <c r="M10" s="229">
        <v>0</v>
      </c>
      <c r="N10" s="229">
        <v>0</v>
      </c>
      <c r="O10" s="229">
        <v>0</v>
      </c>
      <c r="P10" s="229">
        <v>0</v>
      </c>
      <c r="Q10" s="229">
        <v>0</v>
      </c>
      <c r="R10" s="229">
        <v>0</v>
      </c>
      <c r="S10" s="229">
        <v>0</v>
      </c>
      <c r="T10" s="229">
        <v>0</v>
      </c>
      <c r="U10" s="229">
        <v>0</v>
      </c>
      <c r="V10" s="229">
        <v>0</v>
      </c>
      <c r="W10" s="229">
        <v>0</v>
      </c>
      <c r="X10" s="229">
        <v>0</v>
      </c>
    </row>
    <row r="11" spans="1:24" ht="19.5" customHeight="1">
      <c r="A11" s="227" t="s">
        <v>282</v>
      </c>
      <c r="B11" s="230" t="s">
        <v>283</v>
      </c>
      <c r="C11" s="231">
        <f>zał2!E43</f>
        <v>40534439.7</v>
      </c>
      <c r="D11" s="231">
        <f>zał2!F43</f>
        <v>41627126.7</v>
      </c>
      <c r="E11" s="231">
        <f>zał2!G43</f>
        <v>35772301.2655</v>
      </c>
      <c r="F11" s="231">
        <f>zał2!H43</f>
        <v>29917475.031000003</v>
      </c>
      <c r="G11" s="231">
        <f>zał2!I43</f>
        <v>26464512.796500005</v>
      </c>
      <c r="H11" s="231">
        <f>zał2!J43</f>
        <v>23011550.562000006</v>
      </c>
      <c r="I11" s="231">
        <f>zał2!K43</f>
        <v>19558588.327500008</v>
      </c>
      <c r="J11" s="231">
        <f>zał2!L43</f>
        <v>16105626.093000008</v>
      </c>
      <c r="K11" s="231">
        <f>zał2!M43</f>
        <v>12652654.858500008</v>
      </c>
      <c r="L11" s="231">
        <f>zał2!N43</f>
        <v>10214636.734000009</v>
      </c>
      <c r="M11" s="231">
        <f>zał2!O43</f>
        <v>9324097.339500008</v>
      </c>
      <c r="N11" s="231">
        <f>zał2!P43</f>
        <v>8433557.945000008</v>
      </c>
      <c r="O11" s="231">
        <f>zał2!Q43</f>
        <v>7543018.550500007</v>
      </c>
      <c r="P11" s="231">
        <f>zał2!R43</f>
        <v>6652479.156000007</v>
      </c>
      <c r="Q11" s="231">
        <f>zał2!S43</f>
        <v>5761939.761500007</v>
      </c>
      <c r="R11" s="231">
        <f>zał2!T43</f>
        <v>4871400.367000006</v>
      </c>
      <c r="S11" s="231">
        <f>zał2!U43</f>
        <v>3980860.972500006</v>
      </c>
      <c r="T11" s="231">
        <f>zał2!V43</f>
        <v>3090321.5780000063</v>
      </c>
      <c r="U11" s="231">
        <f>zał2!W43</f>
        <v>2199782.1835000063</v>
      </c>
      <c r="V11" s="231">
        <f>zał2!X43</f>
        <v>1309242.7890000064</v>
      </c>
      <c r="W11" s="231">
        <f>zał2!Y43</f>
        <v>418691.39450000634</v>
      </c>
      <c r="X11" s="231">
        <f>zał2!Z43</f>
        <v>0</v>
      </c>
    </row>
    <row r="12" spans="1:24" ht="19.5" customHeight="1">
      <c r="A12" s="227" t="s">
        <v>284</v>
      </c>
      <c r="B12" s="230" t="s">
        <v>285</v>
      </c>
      <c r="C12" s="229">
        <v>0</v>
      </c>
      <c r="D12" s="229">
        <v>0</v>
      </c>
      <c r="E12" s="229">
        <v>0</v>
      </c>
      <c r="F12" s="229">
        <v>0</v>
      </c>
      <c r="G12" s="229">
        <v>0</v>
      </c>
      <c r="H12" s="229">
        <v>0</v>
      </c>
      <c r="I12" s="229">
        <v>0</v>
      </c>
      <c r="J12" s="229">
        <v>0</v>
      </c>
      <c r="K12" s="229">
        <v>0</v>
      </c>
      <c r="L12" s="229">
        <v>0</v>
      </c>
      <c r="M12" s="229">
        <v>0</v>
      </c>
      <c r="N12" s="229">
        <v>0</v>
      </c>
      <c r="O12" s="229">
        <v>0</v>
      </c>
      <c r="P12" s="229">
        <v>0</v>
      </c>
      <c r="Q12" s="229">
        <v>0</v>
      </c>
      <c r="R12" s="229">
        <v>0</v>
      </c>
      <c r="S12" s="229">
        <v>0</v>
      </c>
      <c r="T12" s="229">
        <v>0</v>
      </c>
      <c r="U12" s="229">
        <v>0</v>
      </c>
      <c r="V12" s="229">
        <v>0</v>
      </c>
      <c r="W12" s="229">
        <v>0</v>
      </c>
      <c r="X12" s="229">
        <v>0</v>
      </c>
    </row>
    <row r="13" spans="1:24" ht="19.5" customHeight="1">
      <c r="A13" s="227" t="s">
        <v>286</v>
      </c>
      <c r="B13" s="230" t="s">
        <v>287</v>
      </c>
      <c r="C13" s="229">
        <v>0</v>
      </c>
      <c r="D13" s="229">
        <v>0</v>
      </c>
      <c r="E13" s="229">
        <v>0</v>
      </c>
      <c r="F13" s="229">
        <v>0</v>
      </c>
      <c r="G13" s="229">
        <v>0</v>
      </c>
      <c r="H13" s="229">
        <v>0</v>
      </c>
      <c r="I13" s="229">
        <v>0</v>
      </c>
      <c r="J13" s="229">
        <v>0</v>
      </c>
      <c r="K13" s="229">
        <v>0</v>
      </c>
      <c r="L13" s="229">
        <v>0</v>
      </c>
      <c r="M13" s="229">
        <v>0</v>
      </c>
      <c r="N13" s="229">
        <v>0</v>
      </c>
      <c r="O13" s="229">
        <v>0</v>
      </c>
      <c r="P13" s="229">
        <v>0</v>
      </c>
      <c r="Q13" s="229">
        <v>0</v>
      </c>
      <c r="R13" s="229">
        <v>0</v>
      </c>
      <c r="S13" s="229">
        <v>0</v>
      </c>
      <c r="T13" s="229">
        <v>0</v>
      </c>
      <c r="U13" s="229">
        <v>0</v>
      </c>
      <c r="V13" s="229">
        <v>0</v>
      </c>
      <c r="W13" s="229">
        <v>0</v>
      </c>
      <c r="X13" s="229">
        <v>0</v>
      </c>
    </row>
    <row r="14" spans="1:24" ht="19.5" customHeight="1">
      <c r="A14" s="227" t="s">
        <v>288</v>
      </c>
      <c r="B14" s="230" t="s">
        <v>289</v>
      </c>
      <c r="C14" s="229">
        <v>0</v>
      </c>
      <c r="D14" s="229">
        <v>0</v>
      </c>
      <c r="E14" s="229">
        <v>0</v>
      </c>
      <c r="F14" s="229">
        <v>0</v>
      </c>
      <c r="G14" s="229">
        <v>0</v>
      </c>
      <c r="H14" s="229">
        <v>0</v>
      </c>
      <c r="I14" s="229">
        <v>0</v>
      </c>
      <c r="J14" s="229">
        <v>0</v>
      </c>
      <c r="K14" s="229">
        <v>0</v>
      </c>
      <c r="L14" s="229">
        <v>0</v>
      </c>
      <c r="M14" s="229">
        <v>0</v>
      </c>
      <c r="N14" s="229">
        <v>0</v>
      </c>
      <c r="O14" s="229">
        <v>0</v>
      </c>
      <c r="P14" s="229">
        <v>0</v>
      </c>
      <c r="Q14" s="229">
        <v>0</v>
      </c>
      <c r="R14" s="229">
        <v>0</v>
      </c>
      <c r="S14" s="229">
        <v>0</v>
      </c>
      <c r="T14" s="229">
        <v>0</v>
      </c>
      <c r="U14" s="229">
        <v>0</v>
      </c>
      <c r="V14" s="229">
        <v>0</v>
      </c>
      <c r="W14" s="229">
        <v>0</v>
      </c>
      <c r="X14" s="229">
        <v>0</v>
      </c>
    </row>
    <row r="15" spans="1:24" ht="19.5" customHeight="1">
      <c r="A15" s="227" t="s">
        <v>290</v>
      </c>
      <c r="B15" s="230" t="s">
        <v>291</v>
      </c>
      <c r="C15" s="229">
        <v>0</v>
      </c>
      <c r="D15" s="229">
        <v>0</v>
      </c>
      <c r="E15" s="229">
        <v>0</v>
      </c>
      <c r="F15" s="229">
        <v>0</v>
      </c>
      <c r="G15" s="229">
        <v>0</v>
      </c>
      <c r="H15" s="229">
        <v>0</v>
      </c>
      <c r="I15" s="229">
        <v>0</v>
      </c>
      <c r="J15" s="229">
        <v>0</v>
      </c>
      <c r="K15" s="229">
        <v>0</v>
      </c>
      <c r="L15" s="229">
        <v>0</v>
      </c>
      <c r="M15" s="229">
        <v>0</v>
      </c>
      <c r="N15" s="229">
        <v>0</v>
      </c>
      <c r="O15" s="229">
        <v>0</v>
      </c>
      <c r="P15" s="229">
        <v>0</v>
      </c>
      <c r="Q15" s="229">
        <v>0</v>
      </c>
      <c r="R15" s="229">
        <v>0</v>
      </c>
      <c r="S15" s="229">
        <v>0</v>
      </c>
      <c r="T15" s="229">
        <v>0</v>
      </c>
      <c r="U15" s="229">
        <v>0</v>
      </c>
      <c r="V15" s="229">
        <v>0</v>
      </c>
      <c r="W15" s="229">
        <v>0</v>
      </c>
      <c r="X15" s="229">
        <v>0</v>
      </c>
    </row>
    <row r="16" spans="1:24" ht="19.5" customHeight="1">
      <c r="A16" s="227" t="s">
        <v>292</v>
      </c>
      <c r="B16" s="230" t="s">
        <v>293</v>
      </c>
      <c r="C16" s="229">
        <v>0</v>
      </c>
      <c r="D16" s="229">
        <v>0</v>
      </c>
      <c r="E16" s="229">
        <v>0</v>
      </c>
      <c r="F16" s="229">
        <v>0</v>
      </c>
      <c r="G16" s="229">
        <v>0</v>
      </c>
      <c r="H16" s="229">
        <v>0</v>
      </c>
      <c r="I16" s="229">
        <v>0</v>
      </c>
      <c r="J16" s="229">
        <v>0</v>
      </c>
      <c r="K16" s="229">
        <v>0</v>
      </c>
      <c r="L16" s="229">
        <v>0</v>
      </c>
      <c r="M16" s="229">
        <v>0</v>
      </c>
      <c r="N16" s="229">
        <v>0</v>
      </c>
      <c r="O16" s="229">
        <v>0</v>
      </c>
      <c r="P16" s="229">
        <v>0</v>
      </c>
      <c r="Q16" s="229">
        <v>0</v>
      </c>
      <c r="R16" s="229">
        <v>0</v>
      </c>
      <c r="S16" s="229">
        <v>0</v>
      </c>
      <c r="T16" s="229">
        <v>0</v>
      </c>
      <c r="U16" s="229">
        <v>0</v>
      </c>
      <c r="V16" s="229">
        <v>0</v>
      </c>
      <c r="W16" s="229">
        <v>0</v>
      </c>
      <c r="X16" s="229">
        <v>0</v>
      </c>
    </row>
    <row r="17" spans="1:24" ht="19.5" customHeight="1">
      <c r="A17" s="227" t="s">
        <v>294</v>
      </c>
      <c r="B17" s="232" t="s">
        <v>295</v>
      </c>
      <c r="C17" s="229">
        <v>0</v>
      </c>
      <c r="D17" s="229">
        <v>0</v>
      </c>
      <c r="E17" s="229">
        <v>0</v>
      </c>
      <c r="F17" s="229">
        <v>0</v>
      </c>
      <c r="G17" s="229">
        <v>0</v>
      </c>
      <c r="H17" s="229">
        <v>0</v>
      </c>
      <c r="I17" s="229">
        <v>0</v>
      </c>
      <c r="J17" s="229">
        <v>0</v>
      </c>
      <c r="K17" s="229">
        <v>0</v>
      </c>
      <c r="L17" s="229">
        <v>0</v>
      </c>
      <c r="M17" s="229">
        <v>0</v>
      </c>
      <c r="N17" s="229">
        <v>0</v>
      </c>
      <c r="O17" s="229">
        <v>0</v>
      </c>
      <c r="P17" s="229">
        <v>0</v>
      </c>
      <c r="Q17" s="229">
        <v>0</v>
      </c>
      <c r="R17" s="229">
        <v>0</v>
      </c>
      <c r="S17" s="229">
        <v>0</v>
      </c>
      <c r="T17" s="229">
        <v>0</v>
      </c>
      <c r="U17" s="229">
        <v>0</v>
      </c>
      <c r="V17" s="229">
        <v>0</v>
      </c>
      <c r="W17" s="229">
        <v>0</v>
      </c>
      <c r="X17" s="229">
        <v>0</v>
      </c>
    </row>
    <row r="18" spans="1:24" ht="19.5" customHeight="1">
      <c r="A18" s="227" t="s">
        <v>296</v>
      </c>
      <c r="B18" s="232" t="s">
        <v>297</v>
      </c>
      <c r="C18" s="229">
        <v>0</v>
      </c>
      <c r="D18" s="229">
        <v>0</v>
      </c>
      <c r="E18" s="229">
        <v>0</v>
      </c>
      <c r="F18" s="229">
        <v>0</v>
      </c>
      <c r="G18" s="229">
        <v>0</v>
      </c>
      <c r="H18" s="229">
        <v>0</v>
      </c>
      <c r="I18" s="229">
        <v>0</v>
      </c>
      <c r="J18" s="229">
        <v>0</v>
      </c>
      <c r="K18" s="229">
        <v>0</v>
      </c>
      <c r="L18" s="229">
        <v>0</v>
      </c>
      <c r="M18" s="229">
        <v>0</v>
      </c>
      <c r="N18" s="229">
        <v>0</v>
      </c>
      <c r="O18" s="229">
        <v>0</v>
      </c>
      <c r="P18" s="229">
        <v>0</v>
      </c>
      <c r="Q18" s="229">
        <v>0</v>
      </c>
      <c r="R18" s="229">
        <v>0</v>
      </c>
      <c r="S18" s="229">
        <v>0</v>
      </c>
      <c r="T18" s="229">
        <v>0</v>
      </c>
      <c r="U18" s="229">
        <v>0</v>
      </c>
      <c r="V18" s="229">
        <v>0</v>
      </c>
      <c r="W18" s="229">
        <v>0</v>
      </c>
      <c r="X18" s="229">
        <v>0</v>
      </c>
    </row>
    <row r="19" spans="1:24" ht="19.5" customHeight="1">
      <c r="A19" s="227" t="s">
        <v>298</v>
      </c>
      <c r="B19" s="232" t="s">
        <v>299</v>
      </c>
      <c r="C19" s="229">
        <v>0</v>
      </c>
      <c r="D19" s="229">
        <v>0</v>
      </c>
      <c r="E19" s="229">
        <v>0</v>
      </c>
      <c r="F19" s="229">
        <v>0</v>
      </c>
      <c r="G19" s="229">
        <v>0</v>
      </c>
      <c r="H19" s="229">
        <v>0</v>
      </c>
      <c r="I19" s="229">
        <v>0</v>
      </c>
      <c r="J19" s="229">
        <v>0</v>
      </c>
      <c r="K19" s="229">
        <v>0</v>
      </c>
      <c r="L19" s="229">
        <v>0</v>
      </c>
      <c r="M19" s="229">
        <v>0</v>
      </c>
      <c r="N19" s="229">
        <v>0</v>
      </c>
      <c r="O19" s="229">
        <v>0</v>
      </c>
      <c r="P19" s="229">
        <v>0</v>
      </c>
      <c r="Q19" s="229">
        <v>0</v>
      </c>
      <c r="R19" s="229">
        <v>0</v>
      </c>
      <c r="S19" s="229">
        <v>0</v>
      </c>
      <c r="T19" s="229">
        <v>0</v>
      </c>
      <c r="U19" s="229">
        <v>0</v>
      </c>
      <c r="V19" s="229">
        <v>0</v>
      </c>
      <c r="W19" s="229">
        <v>0</v>
      </c>
      <c r="X19" s="229">
        <v>0</v>
      </c>
    </row>
    <row r="20" spans="1:24" ht="19.5" customHeight="1">
      <c r="A20" s="227" t="s">
        <v>300</v>
      </c>
      <c r="B20" s="232" t="s">
        <v>301</v>
      </c>
      <c r="C20" s="229">
        <v>0</v>
      </c>
      <c r="D20" s="229">
        <v>0</v>
      </c>
      <c r="E20" s="229">
        <v>0</v>
      </c>
      <c r="F20" s="229">
        <v>0</v>
      </c>
      <c r="G20" s="229">
        <v>0</v>
      </c>
      <c r="H20" s="229">
        <v>0</v>
      </c>
      <c r="I20" s="229">
        <v>0</v>
      </c>
      <c r="J20" s="229">
        <v>0</v>
      </c>
      <c r="K20" s="229">
        <v>0</v>
      </c>
      <c r="L20" s="229">
        <v>0</v>
      </c>
      <c r="M20" s="229">
        <v>0</v>
      </c>
      <c r="N20" s="229">
        <v>0</v>
      </c>
      <c r="O20" s="229">
        <v>0</v>
      </c>
      <c r="P20" s="229">
        <v>0</v>
      </c>
      <c r="Q20" s="229">
        <v>0</v>
      </c>
      <c r="R20" s="229">
        <v>0</v>
      </c>
      <c r="S20" s="229">
        <v>0</v>
      </c>
      <c r="T20" s="229">
        <v>0</v>
      </c>
      <c r="U20" s="229">
        <v>0</v>
      </c>
      <c r="V20" s="229">
        <v>0</v>
      </c>
      <c r="W20" s="229">
        <v>0</v>
      </c>
      <c r="X20" s="229">
        <v>0</v>
      </c>
    </row>
    <row r="21" spans="1:24" ht="19.5" customHeight="1">
      <c r="A21" s="227" t="s">
        <v>302</v>
      </c>
      <c r="B21" s="230" t="s">
        <v>303</v>
      </c>
      <c r="C21" s="231">
        <f>zał2!E5</f>
        <v>72674133.27</v>
      </c>
      <c r="D21" s="231">
        <f>zał2!F5</f>
        <v>87878493.61</v>
      </c>
      <c r="E21" s="231">
        <f>zał2!G5</f>
        <v>68001763.27091</v>
      </c>
      <c r="F21" s="231">
        <f>zał2!H5</f>
        <v>65357456.728308216</v>
      </c>
      <c r="G21" s="231">
        <f>zał2!I5</f>
        <v>67379897.20288578</v>
      </c>
      <c r="H21" s="231">
        <f>zał2!J5</f>
        <v>69464924.11165524</v>
      </c>
      <c r="I21" s="231">
        <f>zał2!K5</f>
        <v>71614474.35746095</v>
      </c>
      <c r="J21" s="231">
        <f>zał2!L5</f>
        <v>73830544.78883699</v>
      </c>
      <c r="K21" s="231">
        <f>zał2!M5</f>
        <v>76115194.0553745</v>
      </c>
      <c r="L21" s="231">
        <f>zał2!N5</f>
        <v>78470544.52051719</v>
      </c>
      <c r="M21" s="231">
        <f>zał2!O5</f>
        <v>80898784.2335621</v>
      </c>
      <c r="N21" s="231">
        <f>zał2!P5</f>
        <v>83402168.96269865</v>
      </c>
      <c r="O21" s="231">
        <f>zał2!Q5</f>
        <v>85983024.29097532</v>
      </c>
      <c r="P21" s="231">
        <f>zał2!R5</f>
        <v>88643747.77714156</v>
      </c>
      <c r="Q21" s="231">
        <f>zał2!S5</f>
        <v>91386811.18337333</v>
      </c>
      <c r="R21" s="231">
        <f>zał2!T5</f>
        <v>94214762.77195251</v>
      </c>
      <c r="S21" s="231">
        <f>zał2!U5</f>
        <v>97130229.67303447</v>
      </c>
      <c r="T21" s="231">
        <f>zał2!V5</f>
        <v>100135920.32570451</v>
      </c>
      <c r="U21" s="231">
        <f>zał2!W5</f>
        <v>103234626.9945915</v>
      </c>
      <c r="V21" s="231">
        <f>zał2!X5</f>
        <v>106429228.3643777</v>
      </c>
      <c r="W21" s="231">
        <f>zał2!Y5</f>
        <v>109722692.21461588</v>
      </c>
      <c r="X21" s="231">
        <f>zał2!Z5</f>
        <v>113118078.17733972</v>
      </c>
    </row>
    <row r="22" spans="1:24" ht="19.5" customHeight="1">
      <c r="A22" s="227" t="s">
        <v>304</v>
      </c>
      <c r="B22" s="228" t="s">
        <v>305</v>
      </c>
      <c r="C22" s="231">
        <f>SUM(C10:C14)</f>
        <v>40534439.7</v>
      </c>
      <c r="D22" s="231">
        <f>SUM(D10:D14)</f>
        <v>41627126.7</v>
      </c>
      <c r="E22" s="231">
        <f>SUM(E10:E14)</f>
        <v>35772301.2655</v>
      </c>
      <c r="F22" s="231">
        <f>SUM(F10:F14)</f>
        <v>29917475.031000003</v>
      </c>
      <c r="G22" s="231">
        <f>SUM(G10:G14)</f>
        <v>26464512.796500005</v>
      </c>
      <c r="H22" s="231">
        <f>SUM(H10:H14)</f>
        <v>23011550.562000006</v>
      </c>
      <c r="I22" s="231">
        <f>SUM(I10:I14)</f>
        <v>19558588.327500008</v>
      </c>
      <c r="J22" s="231">
        <f>SUM(J10:J14)</f>
        <v>16105626.093000008</v>
      </c>
      <c r="K22" s="231">
        <f>SUM(K10:K14)</f>
        <v>12652654.858500008</v>
      </c>
      <c r="L22" s="231">
        <f>SUM(L10:L14)</f>
        <v>10214636.734000009</v>
      </c>
      <c r="M22" s="231">
        <f>SUM(M10:M14)</f>
        <v>9324097.339500008</v>
      </c>
      <c r="N22" s="231">
        <f>SUM(N10:N14)</f>
        <v>8433557.945000008</v>
      </c>
      <c r="O22" s="231">
        <f>SUM(O10:O14)</f>
        <v>7543018.550500007</v>
      </c>
      <c r="P22" s="231">
        <f>SUM(P10:P14)</f>
        <v>6652479.156000007</v>
      </c>
      <c r="Q22" s="231">
        <f>SUM(Q10:Q14)</f>
        <v>5761939.761500007</v>
      </c>
      <c r="R22" s="231">
        <f>SUM(R10:R14)</f>
        <v>4871400.367000006</v>
      </c>
      <c r="S22" s="231">
        <f>SUM(S10:S14)</f>
        <v>3980860.972500006</v>
      </c>
      <c r="T22" s="231">
        <f>SUM(T10:T14)</f>
        <v>3090321.5780000063</v>
      </c>
      <c r="U22" s="231">
        <f>SUM(U10:U14)</f>
        <v>2199782.1835000063</v>
      </c>
      <c r="V22" s="231">
        <f>SUM(V10:V14)</f>
        <v>1309242.7890000064</v>
      </c>
      <c r="W22" s="231">
        <f>SUM(W10:W14)</f>
        <v>418691.39450000634</v>
      </c>
      <c r="X22" s="231">
        <f>SUM(X10:X14)</f>
        <v>0</v>
      </c>
    </row>
    <row r="23" spans="1:24" ht="19.5" customHeight="1">
      <c r="A23" s="227" t="s">
        <v>306</v>
      </c>
      <c r="B23" s="230" t="s">
        <v>307</v>
      </c>
      <c r="C23" s="233">
        <f>SUM(C22/C21)</f>
        <v>0.5577560801365992</v>
      </c>
      <c r="D23" s="233">
        <f>SUM(D22/D21)</f>
        <v>0.47368957966825126</v>
      </c>
      <c r="E23" s="233">
        <f>SUM(E22/E21)</f>
        <v>0.526049613198821</v>
      </c>
      <c r="F23" s="233">
        <f>SUM(F22/F21)</f>
        <v>0.4577515180152638</v>
      </c>
      <c r="G23" s="233">
        <f>SUM(G22/G21)</f>
        <v>0.39276570453667253</v>
      </c>
      <c r="H23" s="233">
        <f>SUM(H22/H21)</f>
        <v>0.33126863458473127</v>
      </c>
      <c r="I23" s="233">
        <f>SUM(I22/I21)</f>
        <v>0.27310943078174466</v>
      </c>
      <c r="J23" s="233">
        <f>SUM(J22/J21)</f>
        <v>0.21814312950099135</v>
      </c>
      <c r="K23" s="233">
        <f>SUM(K22/K21)</f>
        <v>0.16623034356708183</v>
      </c>
      <c r="L23" s="233">
        <f>SUM(L22/L21)</f>
        <v>0.13017160510883485</v>
      </c>
      <c r="M23" s="233">
        <f>SUM(M22/M21)</f>
        <v>0.1152563345399666</v>
      </c>
      <c r="N23" s="233">
        <f>SUM(N22/N21)</f>
        <v>0.10111916812105796</v>
      </c>
      <c r="O23" s="233">
        <f>SUM(O22/O21)</f>
        <v>0.08772683460137043</v>
      </c>
      <c r="P23" s="233">
        <f>SUM(P22/P21)</f>
        <v>0.07504735892626004</v>
      </c>
      <c r="Q23" s="233">
        <f>SUM(Q22/Q21)</f>
        <v>0.06305001440457655</v>
      </c>
      <c r="R23" s="233">
        <f>SUM(R22/R21)</f>
        <v>0.05170527657954481</v>
      </c>
      <c r="S23" s="233">
        <f>SUM(S22/S21)</f>
        <v>0.0409847787439669</v>
      </c>
      <c r="T23" s="233">
        <f>SUM(T22/T21)</f>
        <v>0.030861269042600812</v>
      </c>
      <c r="U23" s="233">
        <f>SUM(U22/U21)</f>
        <v>0.0213085691065194</v>
      </c>
      <c r="V23" s="233">
        <f>SUM(V22/V21)</f>
        <v>0.012301534166137159</v>
      </c>
      <c r="W23" s="233">
        <f>SUM(W22/W21)</f>
        <v>0.003815905224792083</v>
      </c>
      <c r="X23" s="233">
        <f>SUM(X22/X21)</f>
        <v>0</v>
      </c>
    </row>
    <row r="24" spans="1:24" ht="12.75">
      <c r="A24" s="234"/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</row>
    <row r="25" spans="1:24" ht="12.75">
      <c r="A25" s="234"/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</row>
    <row r="26" spans="1:24" ht="12.75">
      <c r="A26" s="234"/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</row>
    <row r="27" spans="1:24" ht="12.75">
      <c r="A27" s="234"/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</row>
    <row r="28" spans="1:24" ht="12.75">
      <c r="A28" s="234"/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</row>
    <row r="29" spans="1:24" ht="12.75">
      <c r="A29" s="234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</row>
    <row r="30" spans="1:24" ht="12.75">
      <c r="A30" s="234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</row>
    <row r="36" spans="2:34" ht="12.75"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</row>
    <row r="37" spans="2:34" ht="12.75"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</row>
    <row r="38" spans="2:34" ht="12.75"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</row>
    <row r="39" spans="2:34" ht="12.75"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</row>
    <row r="40" spans="2:34" ht="12.75">
      <c r="B40" s="158"/>
      <c r="C40" s="235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</row>
    <row r="41" spans="2:34" ht="12.75">
      <c r="B41" s="158"/>
      <c r="C41" s="235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</row>
    <row r="42" spans="2:34" ht="12.75"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</row>
  </sheetData>
  <sheetProtection selectLockedCells="1" selectUnlockedCells="1"/>
  <mergeCells count="26">
    <mergeCell ref="W1:X2"/>
    <mergeCell ref="A2:E2"/>
    <mergeCell ref="A4:A8"/>
    <mergeCell ref="B4:B8"/>
    <mergeCell ref="C4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69"/>
  <sheetViews>
    <sheetView workbookViewId="0" topLeftCell="A1">
      <selection activeCell="G14" sqref="G14"/>
    </sheetView>
  </sheetViews>
  <sheetFormatPr defaultColWidth="12.57421875" defaultRowHeight="12.75"/>
  <cols>
    <col min="1" max="1" width="6.140625" style="234" customWidth="1"/>
    <col min="2" max="2" width="23.7109375" style="234" customWidth="1"/>
    <col min="3" max="3" width="12.140625" style="234" customWidth="1"/>
    <col min="4" max="5" width="12.7109375" style="234" customWidth="1"/>
    <col min="6" max="24" width="12.57421875" style="234" customWidth="1"/>
    <col min="25" max="254" width="11.57421875" style="234" customWidth="1"/>
    <col min="255" max="16384" width="11.57421875" style="0" customWidth="1"/>
  </cols>
  <sheetData>
    <row r="1" spans="1:24" ht="48" customHeight="1">
      <c r="A1" s="236"/>
      <c r="B1" s="236"/>
      <c r="C1" s="236"/>
      <c r="D1" s="236"/>
      <c r="E1" s="236"/>
      <c r="F1" s="236"/>
      <c r="G1" s="237"/>
      <c r="H1" s="237"/>
      <c r="I1" s="237"/>
      <c r="J1" s="237"/>
      <c r="K1"/>
      <c r="L1"/>
      <c r="M1" s="237"/>
      <c r="V1" s="238" t="s">
        <v>308</v>
      </c>
      <c r="W1" s="238"/>
      <c r="X1" s="238"/>
    </row>
    <row r="2" spans="1:24" ht="16.5" customHeight="1">
      <c r="A2" s="239"/>
      <c r="B2" s="239"/>
      <c r="C2" s="239"/>
      <c r="D2" s="239"/>
      <c r="E2" s="239"/>
      <c r="F2" s="240"/>
      <c r="G2" s="239"/>
      <c r="H2" s="239"/>
      <c r="I2" s="239"/>
      <c r="J2" s="239"/>
      <c r="K2" s="239"/>
      <c r="L2" s="239"/>
      <c r="M2"/>
      <c r="X2" s="241" t="s">
        <v>276</v>
      </c>
    </row>
    <row r="3" spans="1:24" ht="18.75" customHeight="1">
      <c r="A3" s="242" t="s">
        <v>277</v>
      </c>
      <c r="B3" s="242" t="s">
        <v>3</v>
      </c>
      <c r="C3" s="243" t="s">
        <v>279</v>
      </c>
      <c r="D3" s="242" t="s">
        <v>309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</row>
    <row r="4" spans="1:24" ht="53.25" customHeight="1">
      <c r="A4" s="242"/>
      <c r="B4" s="242"/>
      <c r="C4" s="243"/>
      <c r="D4" s="242">
        <v>2012</v>
      </c>
      <c r="E4" s="242">
        <v>2013</v>
      </c>
      <c r="F4" s="242">
        <v>2014</v>
      </c>
      <c r="G4" s="242">
        <v>2015</v>
      </c>
      <c r="H4" s="242">
        <v>2016</v>
      </c>
      <c r="I4" s="242">
        <v>2017</v>
      </c>
      <c r="J4" s="242">
        <v>2018</v>
      </c>
      <c r="K4" s="242">
        <v>2019</v>
      </c>
      <c r="L4" s="242">
        <v>2020</v>
      </c>
      <c r="M4" s="242">
        <v>2021</v>
      </c>
      <c r="N4" s="242">
        <v>2022</v>
      </c>
      <c r="O4" s="242">
        <v>2023</v>
      </c>
      <c r="P4" s="242">
        <v>2024</v>
      </c>
      <c r="Q4" s="242">
        <v>2025</v>
      </c>
      <c r="R4" s="242">
        <v>2026</v>
      </c>
      <c r="S4" s="242">
        <v>2027</v>
      </c>
      <c r="T4" s="242">
        <v>2028</v>
      </c>
      <c r="U4" s="242">
        <v>2029</v>
      </c>
      <c r="V4" s="242">
        <v>2030</v>
      </c>
      <c r="W4" s="242">
        <v>2031</v>
      </c>
      <c r="X4" s="242">
        <v>2032</v>
      </c>
    </row>
    <row r="5" spans="1:24" ht="12.75">
      <c r="A5" s="226">
        <v>1</v>
      </c>
      <c r="B5" s="226">
        <v>2</v>
      </c>
      <c r="C5" s="226">
        <v>3</v>
      </c>
      <c r="D5" s="226">
        <v>5</v>
      </c>
      <c r="E5" s="226">
        <v>6</v>
      </c>
      <c r="F5" s="226">
        <v>7</v>
      </c>
      <c r="G5" s="226">
        <v>8</v>
      </c>
      <c r="H5" s="226">
        <v>9</v>
      </c>
      <c r="I5" s="226">
        <v>10</v>
      </c>
      <c r="J5" s="226">
        <v>11</v>
      </c>
      <c r="K5" s="226">
        <v>12</v>
      </c>
      <c r="L5" s="226">
        <v>13</v>
      </c>
      <c r="M5" s="226">
        <v>14</v>
      </c>
      <c r="N5" s="226">
        <v>15</v>
      </c>
      <c r="O5" s="226">
        <v>16</v>
      </c>
      <c r="P5" s="226">
        <v>17</v>
      </c>
      <c r="Q5" s="226">
        <v>18</v>
      </c>
      <c r="R5" s="226">
        <v>19</v>
      </c>
      <c r="S5" s="226">
        <v>20</v>
      </c>
      <c r="T5" s="226">
        <v>21</v>
      </c>
      <c r="U5" s="226">
        <v>22</v>
      </c>
      <c r="V5" s="226">
        <v>23</v>
      </c>
      <c r="W5" s="226">
        <v>24</v>
      </c>
      <c r="X5" s="226">
        <v>25</v>
      </c>
    </row>
    <row r="6" spans="1:24" ht="12.75">
      <c r="A6" s="244" t="s">
        <v>310</v>
      </c>
      <c r="B6" s="245" t="s">
        <v>311</v>
      </c>
      <c r="C6" s="246">
        <f>SUM(C7,C11,C12)</f>
        <v>72674133.27</v>
      </c>
      <c r="D6" s="247">
        <f>zał2!F5</f>
        <v>87878493.61</v>
      </c>
      <c r="E6" s="247">
        <f>zał2!G5</f>
        <v>68001763.27091</v>
      </c>
      <c r="F6" s="247">
        <f>zał2!H5</f>
        <v>65357456.728308216</v>
      </c>
      <c r="G6" s="247">
        <f>zał2!I5</f>
        <v>67379897.20288578</v>
      </c>
      <c r="H6" s="247">
        <f>zał2!J5</f>
        <v>69464924.11165524</v>
      </c>
      <c r="I6" s="247">
        <f>zał2!K5</f>
        <v>71614474.35746095</v>
      </c>
      <c r="J6" s="247">
        <f>zał2!L5</f>
        <v>73830544.78883699</v>
      </c>
      <c r="K6" s="247">
        <f>zał2!M5</f>
        <v>76115194.0553745</v>
      </c>
      <c r="L6" s="247">
        <f>zał2!N5</f>
        <v>78470544.52051719</v>
      </c>
      <c r="M6" s="247">
        <f>zał2!O5</f>
        <v>80898784.2335621</v>
      </c>
      <c r="N6" s="247">
        <f>zał2!P5</f>
        <v>83402168.96269865</v>
      </c>
      <c r="O6" s="247">
        <f>zał2!Q5</f>
        <v>85983024.29097532</v>
      </c>
      <c r="P6" s="247">
        <f>zał2!R5</f>
        <v>88643747.77714156</v>
      </c>
      <c r="Q6" s="247">
        <f>zał2!S5</f>
        <v>91386811.18337333</v>
      </c>
      <c r="R6" s="247">
        <f>zał2!T5</f>
        <v>94214762.77195251</v>
      </c>
      <c r="S6" s="247">
        <f>zał2!U5</f>
        <v>97130229.67303447</v>
      </c>
      <c r="T6" s="247">
        <f>zał2!V5</f>
        <v>100135920.32570451</v>
      </c>
      <c r="U6" s="247">
        <f>zał2!W5</f>
        <v>103234626.9945915</v>
      </c>
      <c r="V6" s="247">
        <f>zał2!X5</f>
        <v>106429228.3643777</v>
      </c>
      <c r="W6" s="247">
        <f>zał2!Y5</f>
        <v>109722692.21461588</v>
      </c>
      <c r="X6" s="247">
        <f>zał2!Z5</f>
        <v>113118078.17733972</v>
      </c>
    </row>
    <row r="7" spans="1:24" ht="12.75">
      <c r="A7" s="244" t="s">
        <v>312</v>
      </c>
      <c r="B7" s="230" t="s">
        <v>313</v>
      </c>
      <c r="C7" s="248">
        <v>30707330.28</v>
      </c>
      <c r="D7" s="249">
        <v>0</v>
      </c>
      <c r="E7" s="247">
        <f>SUM(D7+0.05*D7)</f>
        <v>0</v>
      </c>
      <c r="F7" s="247">
        <f>SUM(E7+0.05*E7)</f>
        <v>0</v>
      </c>
      <c r="G7" s="247">
        <f>SUM(F7+0.03*F7)</f>
        <v>0</v>
      </c>
      <c r="H7" s="247">
        <f>SUM(G7+0.03*G7)</f>
        <v>0</v>
      </c>
      <c r="I7" s="247">
        <f>SUM(H7+0.03*H7)</f>
        <v>0</v>
      </c>
      <c r="J7" s="247">
        <f>SUM(I7+0.03*I7)</f>
        <v>0</v>
      </c>
      <c r="K7" s="247">
        <f>SUM(J7+0.03*J7)</f>
        <v>0</v>
      </c>
      <c r="L7" s="247">
        <f>SUM(K7+0.03*K7)</f>
        <v>0</v>
      </c>
      <c r="M7" s="247">
        <f>SUM(L7+0.03*L7)</f>
        <v>0</v>
      </c>
      <c r="N7" s="247">
        <f>SUM(M7+0.03*M7)</f>
        <v>0</v>
      </c>
      <c r="O7" s="247">
        <f>SUM(N7+0.03*N7)</f>
        <v>0</v>
      </c>
      <c r="P7" s="247">
        <f>SUM(O7+0.03*O7)</f>
        <v>0</v>
      </c>
      <c r="Q7" s="247">
        <f>SUM(P7+0.03*P7)</f>
        <v>0</v>
      </c>
      <c r="R7" s="247">
        <f>SUM(Q7+0.03*Q7)</f>
        <v>0</v>
      </c>
      <c r="S7" s="247">
        <f>SUM(R7+0.03*R7)</f>
        <v>0</v>
      </c>
      <c r="T7" s="247">
        <f>SUM(S7+0.03*S7)</f>
        <v>0</v>
      </c>
      <c r="U7" s="247">
        <f>SUM(T7+0.03*T7)</f>
        <v>0</v>
      </c>
      <c r="V7" s="247">
        <f>SUM(U7+0.03*U7)</f>
        <v>0</v>
      </c>
      <c r="W7" s="247">
        <f>SUM(V7+0.03*V7)</f>
        <v>0</v>
      </c>
      <c r="X7" s="247">
        <f>SUM(W7+0.03*W7)</f>
        <v>0</v>
      </c>
    </row>
    <row r="8" spans="1:24" ht="19.5" customHeight="1">
      <c r="A8" s="244" t="s">
        <v>280</v>
      </c>
      <c r="B8" s="230" t="s">
        <v>314</v>
      </c>
      <c r="C8" s="231">
        <f>SUM(C7-C9-C10)</f>
        <v>17553272.48</v>
      </c>
      <c r="D8" s="250">
        <f>SUM(D7-D9-D10)</f>
        <v>0</v>
      </c>
      <c r="E8" s="251">
        <f>SUM(D8+0.03*D8)</f>
        <v>0</v>
      </c>
      <c r="F8" s="251">
        <f>SUM(E8+0.03*E8)</f>
        <v>0</v>
      </c>
      <c r="G8" s="251">
        <f>SUM(F8+0.03*F8)</f>
        <v>0</v>
      </c>
      <c r="H8" s="251">
        <f>SUM(G8+0.03*G8)</f>
        <v>0</v>
      </c>
      <c r="I8" s="251">
        <f>SUM(H8+0.03*H8)</f>
        <v>0</v>
      </c>
      <c r="J8" s="251">
        <f>SUM(I8+0.03*I8)</f>
        <v>0</v>
      </c>
      <c r="K8" s="251">
        <f>SUM(J8+0.03*J8)</f>
        <v>0</v>
      </c>
      <c r="L8" s="251">
        <f>SUM(K8+0.03*K8)</f>
        <v>0</v>
      </c>
      <c r="M8" s="251">
        <f>SUM(L8+0.03*L8)</f>
        <v>0</v>
      </c>
      <c r="N8" s="251">
        <f>SUM(M8+0.03*M8)</f>
        <v>0</v>
      </c>
      <c r="O8" s="251">
        <f>SUM(N8+0.03*N8)</f>
        <v>0</v>
      </c>
      <c r="P8" s="251">
        <f>SUM(O8+0.03*O8)</f>
        <v>0</v>
      </c>
      <c r="Q8" s="251">
        <f>SUM(P8+0.03*P8)</f>
        <v>0</v>
      </c>
      <c r="R8" s="251">
        <f>SUM(Q8+0.03*Q8)</f>
        <v>0</v>
      </c>
      <c r="S8" s="251">
        <f>SUM(R8+0.03*R8)</f>
        <v>0</v>
      </c>
      <c r="T8" s="251">
        <f>SUM(S8+0.03*S8)</f>
        <v>0</v>
      </c>
      <c r="U8" s="251">
        <f>SUM(T8+0.03*T8)</f>
        <v>0</v>
      </c>
      <c r="V8" s="251">
        <f>SUM(U8+0.03*U8)</f>
        <v>0</v>
      </c>
      <c r="W8" s="251">
        <f>SUM(V8+0.03*V8)</f>
        <v>0</v>
      </c>
      <c r="X8" s="251">
        <f>SUM(W8+0.03*W8)</f>
        <v>0</v>
      </c>
    </row>
    <row r="9" spans="1:24" ht="20.25" customHeight="1">
      <c r="A9" s="244" t="s">
        <v>282</v>
      </c>
      <c r="B9" s="230" t="s">
        <v>315</v>
      </c>
      <c r="C9" s="64">
        <v>6254896.34</v>
      </c>
      <c r="D9" s="249">
        <v>0</v>
      </c>
      <c r="E9" s="251">
        <f>zał2!G8+2140684</f>
        <v>8140684</v>
      </c>
      <c r="F9" s="251">
        <f>zał2!H8+2140684</f>
        <v>3640684</v>
      </c>
      <c r="G9" s="251">
        <f>zał2!I8+2140684</f>
        <v>3685684</v>
      </c>
      <c r="H9" s="251">
        <f>zał2!J8+2140684</f>
        <v>3732034</v>
      </c>
      <c r="I9" s="251">
        <f>zał2!K8+2140684</f>
        <v>3779774.5</v>
      </c>
      <c r="J9" s="251">
        <f>zał2!L8+2140684</f>
        <v>3828947.215</v>
      </c>
      <c r="K9" s="251">
        <f>zał2!M8+2140684</f>
        <v>3879595.11145</v>
      </c>
      <c r="L9" s="251">
        <f>zał2!N8+2140684</f>
        <v>3931762.4447935</v>
      </c>
      <c r="M9" s="251">
        <f>zał2!O8+2140684</f>
        <v>3985494.7981373053</v>
      </c>
      <c r="N9" s="251">
        <f>zał2!P8+2140684</f>
        <v>4040839.1220814246</v>
      </c>
      <c r="O9" s="251">
        <f>zał2!Q8+2140684</f>
        <v>4097843.7757438673</v>
      </c>
      <c r="P9" s="251">
        <f>zał2!R8+2140684</f>
        <v>4156558.5690161833</v>
      </c>
      <c r="Q9" s="251">
        <f>zał2!S8+2140684</f>
        <v>4217034.806086669</v>
      </c>
      <c r="R9" s="251">
        <f>zał2!T8+2140684</f>
        <v>4279325.330269269</v>
      </c>
      <c r="S9" s="251">
        <f>zał2!U8+2140684</f>
        <v>4343484.5701773465</v>
      </c>
      <c r="T9" s="251">
        <f>zał2!V8+2140684</f>
        <v>4409568.587282667</v>
      </c>
      <c r="U9" s="251">
        <f>zał2!W8+2140684</f>
        <v>4477635.124901148</v>
      </c>
      <c r="V9" s="251">
        <f>zał2!X8+2140684</f>
        <v>4547743.658648182</v>
      </c>
      <c r="W9" s="251">
        <f>zał2!Y8+2140684</f>
        <v>4619955.448407628</v>
      </c>
      <c r="X9" s="251">
        <f>zał2!Z8+2140684</f>
        <v>4694333.591859857</v>
      </c>
    </row>
    <row r="10" spans="1:24" ht="19.5" customHeight="1">
      <c r="A10" s="244" t="s">
        <v>284</v>
      </c>
      <c r="B10" s="230" t="s">
        <v>316</v>
      </c>
      <c r="C10" s="248">
        <v>6899161.46</v>
      </c>
      <c r="D10" s="249">
        <v>0</v>
      </c>
      <c r="E10" s="251">
        <f>SUM(D10+0.04*D10)</f>
        <v>0</v>
      </c>
      <c r="F10" s="251">
        <f>SUM(E10+0.04*E10)</f>
        <v>0</v>
      </c>
      <c r="G10" s="251">
        <f>SUM(F10+0.04*F10)</f>
        <v>0</v>
      </c>
      <c r="H10" s="251">
        <f>SUM(G10+0.04*G10)</f>
        <v>0</v>
      </c>
      <c r="I10" s="251">
        <f>SUM(H10+0.04*H10)</f>
        <v>0</v>
      </c>
      <c r="J10" s="251">
        <f>SUM(I10+0.04*I10)</f>
        <v>0</v>
      </c>
      <c r="K10" s="251">
        <f>SUM(J10+0.04*J10)</f>
        <v>0</v>
      </c>
      <c r="L10" s="251">
        <f>SUM(K10+0.04*K10)</f>
        <v>0</v>
      </c>
      <c r="M10" s="251">
        <f>SUM(L10+0.04*L10)</f>
        <v>0</v>
      </c>
      <c r="N10" s="251">
        <f>SUM(M10+0.04*M10)</f>
        <v>0</v>
      </c>
      <c r="O10" s="251">
        <f>SUM(N10+0.04*N10)</f>
        <v>0</v>
      </c>
      <c r="P10" s="251">
        <f>SUM(O10+0.04*O10)</f>
        <v>0</v>
      </c>
      <c r="Q10" s="251">
        <f>SUM(P10+0.04*P10)</f>
        <v>0</v>
      </c>
      <c r="R10" s="251">
        <f>SUM(Q10+0.04*Q10)</f>
        <v>0</v>
      </c>
      <c r="S10" s="251">
        <f>SUM(R10+0.04*R10)</f>
        <v>0</v>
      </c>
      <c r="T10" s="251">
        <f>SUM(S10+0.04*S10)</f>
        <v>0</v>
      </c>
      <c r="U10" s="251">
        <f>SUM(T10+0.04*T10)</f>
        <v>0</v>
      </c>
      <c r="V10" s="251">
        <f>SUM(U10+0.04*U10)</f>
        <v>0</v>
      </c>
      <c r="W10" s="251">
        <f>SUM(V10+0.04*V10)</f>
        <v>0</v>
      </c>
      <c r="X10" s="251">
        <f>SUM(W10+0.04*W10)</f>
        <v>0</v>
      </c>
    </row>
    <row r="11" spans="1:24" ht="19.5" customHeight="1">
      <c r="A11" s="244" t="s">
        <v>317</v>
      </c>
      <c r="B11" s="230" t="s">
        <v>318</v>
      </c>
      <c r="C11" s="64">
        <v>22008845</v>
      </c>
      <c r="D11" s="249">
        <v>0</v>
      </c>
      <c r="E11" s="251">
        <f>SUM(D11+0.03*D11)</f>
        <v>0</v>
      </c>
      <c r="F11" s="251">
        <f>SUM(E11+0.03*E11)</f>
        <v>0</v>
      </c>
      <c r="G11" s="251">
        <f>SUM(F11+0.03*F11)</f>
        <v>0</v>
      </c>
      <c r="H11" s="251">
        <f>SUM(G11+0.03*G11)</f>
        <v>0</v>
      </c>
      <c r="I11" s="251">
        <f>SUM(H11+0.03*H11)</f>
        <v>0</v>
      </c>
      <c r="J11" s="251">
        <f>SUM(I11+0.03*I11)</f>
        <v>0</v>
      </c>
      <c r="K11" s="251">
        <f>SUM(J11+0.03*J11)</f>
        <v>0</v>
      </c>
      <c r="L11" s="251">
        <f>SUM(K11+0.03*K11)</f>
        <v>0</v>
      </c>
      <c r="M11" s="251">
        <f>SUM(L11+0.03*L11)</f>
        <v>0</v>
      </c>
      <c r="N11" s="251">
        <f>SUM(M11+0.03*M11)</f>
        <v>0</v>
      </c>
      <c r="O11" s="251">
        <f>SUM(N11+0.03*N11)</f>
        <v>0</v>
      </c>
      <c r="P11" s="251">
        <f>SUM(O11+0.03*O11)</f>
        <v>0</v>
      </c>
      <c r="Q11" s="251">
        <f>SUM(P11+0.03*P11)</f>
        <v>0</v>
      </c>
      <c r="R11" s="251">
        <f>SUM(Q11+0.03*Q11)</f>
        <v>0</v>
      </c>
      <c r="S11" s="251">
        <f>SUM(R11+0.03*R11)</f>
        <v>0</v>
      </c>
      <c r="T11" s="251">
        <f>SUM(S11+0.03*S11)</f>
        <v>0</v>
      </c>
      <c r="U11" s="251">
        <f>SUM(T11+0.03*T11)</f>
        <v>0</v>
      </c>
      <c r="V11" s="251">
        <f>SUM(U11+0.03*U11)</f>
        <v>0</v>
      </c>
      <c r="W11" s="251">
        <f>SUM(V11+0.03*V11)</f>
        <v>0</v>
      </c>
      <c r="X11" s="251">
        <f>SUM(W11+0.03*W11)</f>
        <v>0</v>
      </c>
    </row>
    <row r="12" spans="1:24" ht="19.5" customHeight="1">
      <c r="A12" s="244" t="s">
        <v>319</v>
      </c>
      <c r="B12" s="230" t="s">
        <v>320</v>
      </c>
      <c r="C12" s="64">
        <v>19957957.99</v>
      </c>
      <c r="D12" s="249">
        <v>0</v>
      </c>
      <c r="E12" s="251">
        <f>SUM(E6-E7-E11)</f>
        <v>68001763.27091</v>
      </c>
      <c r="F12" s="251">
        <f>SUM(F6-F7-F11)</f>
        <v>65357456.728308216</v>
      </c>
      <c r="G12" s="251">
        <f>SUM(G6-G7-G11)</f>
        <v>67379897.20288578</v>
      </c>
      <c r="H12" s="251">
        <f>SUM(H6-H7-H11)</f>
        <v>69464924.11165524</v>
      </c>
      <c r="I12" s="251">
        <f>SUM(I6-I7-I11)</f>
        <v>71614474.35746095</v>
      </c>
      <c r="J12" s="251">
        <f>SUM(J6-J7-J11)</f>
        <v>73830544.78883699</v>
      </c>
      <c r="K12" s="251">
        <f>SUM(K6-K7-K11)</f>
        <v>76115194.0553745</v>
      </c>
      <c r="L12" s="251">
        <f>SUM(L6-L7-L11)</f>
        <v>78470544.52051719</v>
      </c>
      <c r="M12" s="251">
        <f>SUM(M6-M7-M11)</f>
        <v>80898784.2335621</v>
      </c>
      <c r="N12" s="251">
        <f>SUM(N6-N7-N11)</f>
        <v>83402168.96269865</v>
      </c>
      <c r="O12" s="251">
        <f>SUM(O6-O7-O11)</f>
        <v>85983024.29097532</v>
      </c>
      <c r="P12" s="251">
        <f>SUM(P6-P7-P11)</f>
        <v>88643747.77714156</v>
      </c>
      <c r="Q12" s="251">
        <f>SUM(Q6-Q7-Q11)</f>
        <v>91386811.18337333</v>
      </c>
      <c r="R12" s="251">
        <f>SUM(R6-R7-R11)</f>
        <v>94214762.77195251</v>
      </c>
      <c r="S12" s="251">
        <f>SUM(S6-S7-S11)</f>
        <v>97130229.67303447</v>
      </c>
      <c r="T12" s="251">
        <f>SUM(T6-T7-T11)</f>
        <v>100135920.32570451</v>
      </c>
      <c r="U12" s="251">
        <f>SUM(U6-U7-U11)</f>
        <v>103234626.9945915</v>
      </c>
      <c r="V12" s="251">
        <f>SUM(V6-V7-V11)</f>
        <v>106429228.3643777</v>
      </c>
      <c r="W12" s="251">
        <f>SUM(W6-W7-W11)</f>
        <v>109722692.21461588</v>
      </c>
      <c r="X12" s="251">
        <f>SUM(X6-X7-X11)</f>
        <v>113118078.17733972</v>
      </c>
    </row>
    <row r="13" spans="1:24" ht="19.5" customHeight="1">
      <c r="A13" s="244" t="s">
        <v>321</v>
      </c>
      <c r="B13" s="252" t="s">
        <v>322</v>
      </c>
      <c r="C13" s="231">
        <f>zał2!E9</f>
        <v>80446015.95</v>
      </c>
      <c r="D13" s="250">
        <f>zał2!F9</f>
        <v>89682258.61</v>
      </c>
      <c r="E13" s="250">
        <f>zał2!G9</f>
        <v>55946527</v>
      </c>
      <c r="F13" s="250">
        <f>zał2!H9</f>
        <v>55064299</v>
      </c>
      <c r="G13" s="250">
        <f>zał2!I9</f>
        <v>56641227.97</v>
      </c>
      <c r="H13" s="250">
        <f>zał2!J9</f>
        <v>58340464.8091</v>
      </c>
      <c r="I13" s="250">
        <f>zał2!K9</f>
        <v>60090678.753373004</v>
      </c>
      <c r="J13" s="250">
        <f>zał2!L9</f>
        <v>61893399.115974195</v>
      </c>
      <c r="K13" s="250">
        <f>zał2!M9</f>
        <v>63750201.08945342</v>
      </c>
      <c r="L13" s="250">
        <f>zał2!N9</f>
        <v>65662707.122137025</v>
      </c>
      <c r="M13" s="250">
        <f>zał2!O9</f>
        <v>67632588.33580114</v>
      </c>
      <c r="N13" s="250">
        <f>zał2!P9</f>
        <v>69661565.98587517</v>
      </c>
      <c r="O13" s="250">
        <f>zał2!Q9</f>
        <v>71751412.96545142</v>
      </c>
      <c r="P13" s="250">
        <f>zał2!R9</f>
        <v>73903955.35441495</v>
      </c>
      <c r="Q13" s="250">
        <f>zał2!S9</f>
        <v>76121074.01504742</v>
      </c>
      <c r="R13" s="250">
        <f>zał2!T9</f>
        <v>78404706.23549883</v>
      </c>
      <c r="S13" s="250">
        <f>zał2!U9</f>
        <v>80756847.42256379</v>
      </c>
      <c r="T13" s="250">
        <f>zał2!V9</f>
        <v>83179552.84524071</v>
      </c>
      <c r="U13" s="250">
        <f>zał2!W9</f>
        <v>85674939.43059793</v>
      </c>
      <c r="V13" s="250">
        <f>zał2!X9</f>
        <v>88245187.61351587</v>
      </c>
      <c r="W13" s="250">
        <f>zał2!Y9</f>
        <v>90892543.24192135</v>
      </c>
      <c r="X13" s="250">
        <f>zał2!Z9</f>
        <v>93619319.53917898</v>
      </c>
    </row>
    <row r="14" spans="1:24" ht="24.75">
      <c r="A14" s="244" t="s">
        <v>323</v>
      </c>
      <c r="B14" s="245" t="s">
        <v>324</v>
      </c>
      <c r="C14" s="253">
        <f>SUM(C15,C19,C23)</f>
        <v>9543861.239999998</v>
      </c>
      <c r="D14" s="253">
        <f>SUM(D15,D19,D23)</f>
        <v>10673140.89</v>
      </c>
      <c r="E14" s="253">
        <f>SUM(E15,E19,E23)</f>
        <v>9001163.51043</v>
      </c>
      <c r="F14" s="253">
        <f>SUM(F15,F19,F23)</f>
        <v>7649874.7363599995</v>
      </c>
      <c r="G14" s="253">
        <f>SUM(G15,G19,G23)</f>
        <v>5040833.002289999</v>
      </c>
      <c r="H14" s="253">
        <f>SUM(H15,H19,H23)</f>
        <v>4833655.26822</v>
      </c>
      <c r="I14" s="253">
        <f>SUM(I15,I19,I23)</f>
        <v>4626477.534150001</v>
      </c>
      <c r="J14" s="253">
        <f>SUM(J15,J19,J23)</f>
        <v>4419299.80008</v>
      </c>
      <c r="K14" s="253">
        <f>SUM(K15,K19,K23)</f>
        <v>4212130.52601</v>
      </c>
      <c r="L14" s="253">
        <f>SUM(L15,L19,L23)</f>
        <v>3050896.3285400006</v>
      </c>
      <c r="M14" s="253">
        <f>SUM(M15,M19,M23)</f>
        <v>1449985.2348700005</v>
      </c>
      <c r="N14" s="253">
        <f>SUM(N15,N19,N23)</f>
        <v>1396552.8712000004</v>
      </c>
      <c r="O14" s="253">
        <f>SUM(O15,O19,O23)</f>
        <v>1343120.5075300005</v>
      </c>
      <c r="P14" s="253">
        <f>SUM(P15,P19,P23)</f>
        <v>1289688.1438600007</v>
      </c>
      <c r="Q14" s="253">
        <f>SUM(Q15,Q19,Q23)</f>
        <v>1236255.7801900003</v>
      </c>
      <c r="R14" s="253">
        <f>SUM(R15,R19,R23)</f>
        <v>1182823.4165200004</v>
      </c>
      <c r="S14" s="253">
        <f>SUM(S15,S19,S23)</f>
        <v>1129391.0528500006</v>
      </c>
      <c r="T14" s="253">
        <f>SUM(T15,T19,T23)</f>
        <v>1075958.6891800005</v>
      </c>
      <c r="U14" s="253">
        <f>SUM(U15,U19,U23)</f>
        <v>1022526.3255100003</v>
      </c>
      <c r="V14" s="253">
        <f>SUM(V15,V19,V23)</f>
        <v>969093.9618400005</v>
      </c>
      <c r="W14" s="253">
        <f>SUM(W15,W19,W23)</f>
        <v>915672.8781700004</v>
      </c>
      <c r="X14" s="253">
        <f>SUM(X15,X19,X23)</f>
        <v>418691.39450000005</v>
      </c>
    </row>
    <row r="15" spans="1:24" ht="46.5" customHeight="1">
      <c r="A15" s="244" t="s">
        <v>312</v>
      </c>
      <c r="B15" s="228" t="s">
        <v>325</v>
      </c>
      <c r="C15" s="253">
        <f>SUM(C16:C18)</f>
        <v>8351861.239999999</v>
      </c>
      <c r="D15" s="253">
        <f>SUM(D16:D18)</f>
        <v>9481140.89</v>
      </c>
      <c r="E15" s="253">
        <f>SUM(E16:E18)</f>
        <v>7139069.770304594</v>
      </c>
      <c r="F15" s="253">
        <f>SUM(F16:F18)</f>
        <v>6860352.331982293</v>
      </c>
      <c r="G15" s="253">
        <f>SUM(G16:G18)</f>
        <v>4294110.515724957</v>
      </c>
      <c r="H15" s="253">
        <f>SUM(H16:H18)</f>
        <v>4129732.6994676213</v>
      </c>
      <c r="I15" s="253">
        <f>SUM(I16:I18)</f>
        <v>3965354.883210285</v>
      </c>
      <c r="J15" s="253">
        <f>SUM(J16:J18)</f>
        <v>3800977.0669529485</v>
      </c>
      <c r="K15" s="253">
        <f>SUM(K16:K18)</f>
        <v>3636607.8222517874</v>
      </c>
      <c r="L15" s="253">
        <f>SUM(L16:L18)</f>
        <v>2505593.1778113022</v>
      </c>
      <c r="M15" s="253">
        <f>SUM(M16:M18)</f>
        <v>915720.4362300439</v>
      </c>
      <c r="N15" s="253">
        <f>SUM(N16:N18)</f>
        <v>873326.4246487856</v>
      </c>
      <c r="O15" s="253">
        <f>SUM(O16:O18)</f>
        <v>830932.4130675273</v>
      </c>
      <c r="P15" s="253">
        <f>SUM(P16:P18)</f>
        <v>788538.401486269</v>
      </c>
      <c r="Q15" s="253">
        <f>SUM(Q16:Q18)</f>
        <v>746144.3899050106</v>
      </c>
      <c r="R15" s="253">
        <f>SUM(R16:R18)</f>
        <v>703750.3783237523</v>
      </c>
      <c r="S15" s="253">
        <f>SUM(S16:S18)</f>
        <v>661356.3667424939</v>
      </c>
      <c r="T15" s="253">
        <f>SUM(T16:T18)</f>
        <v>618962.3551612357</v>
      </c>
      <c r="U15" s="253">
        <f>SUM(U16:U18)</f>
        <v>576568.3435799773</v>
      </c>
      <c r="V15" s="253">
        <f>SUM(V16:V18)</f>
        <v>534174.331998719</v>
      </c>
      <c r="W15" s="253">
        <f>SUM(W16:W18)</f>
        <v>491791.74915902776</v>
      </c>
      <c r="X15" s="253">
        <f>SUM(X16:X18)</f>
        <v>0</v>
      </c>
    </row>
    <row r="16" spans="1:24" ht="24.75">
      <c r="A16" s="244" t="s">
        <v>280</v>
      </c>
      <c r="B16" s="228" t="s">
        <v>326</v>
      </c>
      <c r="C16" s="254">
        <f>zał2!E67+zał2!E68-zał2!E74-zał2!E75-zał2!E76</f>
        <v>4726604.1</v>
      </c>
      <c r="D16" s="254">
        <f>zał2!F67+zał2!F68-zał2!F74-zał2!F75-zał2!F76</f>
        <v>6035183.99</v>
      </c>
      <c r="E16" s="254">
        <f>zał2!G67+zał2!G68-zał2!G74-zał2!G75-zał2!G76</f>
        <v>4352333.14</v>
      </c>
      <c r="F16" s="254">
        <f>zał2!H67+zał2!H68-zał2!H74-zał2!H75-zał2!H76</f>
        <v>4352333.9399999995</v>
      </c>
      <c r="G16" s="254">
        <f>zał2!I67+zał2!I68-zał2!I74-zał2!I75-zał2!I76</f>
        <v>2174186.94</v>
      </c>
      <c r="H16" s="254">
        <f>zał2!J67+zał2!J68-zał2!J74-zał2!J75-zał2!J76</f>
        <v>2174186.94</v>
      </c>
      <c r="I16" s="254">
        <f>zał2!K67+zał2!K68-zał2!K74-zał2!K75-zał2!K76</f>
        <v>2174186.94</v>
      </c>
      <c r="J16" s="254">
        <f>zał2!L67+zał2!L68-zał2!L74-zał2!L75-zał2!L76</f>
        <v>2174186.94</v>
      </c>
      <c r="K16" s="254">
        <f>zał2!M67+zał2!M68-zał2!M74-zał2!M75-zał2!M76</f>
        <v>2174192.94</v>
      </c>
      <c r="L16" s="254">
        <f>zał2!N67+zał2!N68-zał2!N74-zał2!N75-zał2!N76</f>
        <v>1630657.83</v>
      </c>
      <c r="M16" s="254">
        <f>zał2!O67+zał2!O68-zał2!O74-zał2!O75-zał2!O76</f>
        <v>396660</v>
      </c>
      <c r="N16" s="254">
        <f>zał2!P67+zał2!P68-zał2!P74-zał2!P75-zał2!P76</f>
        <v>396660</v>
      </c>
      <c r="O16" s="254">
        <f>zał2!Q67+zał2!Q68-zał2!Q74-zał2!Q75-zał2!Q76</f>
        <v>396660</v>
      </c>
      <c r="P16" s="254">
        <f>zał2!R67+zał2!R68-zał2!R74-zał2!R75-zał2!R76</f>
        <v>396660</v>
      </c>
      <c r="Q16" s="254">
        <f>zał2!S67+zał2!S68-zał2!S74-zał2!S75-zał2!S76</f>
        <v>396660</v>
      </c>
      <c r="R16" s="254">
        <f>zał2!T67+zał2!T68-zał2!T74-zał2!T75-zał2!T76</f>
        <v>396660</v>
      </c>
      <c r="S16" s="254">
        <f>zał2!U67+zał2!U68-zał2!U74-zał2!U75-zał2!U76</f>
        <v>396660</v>
      </c>
      <c r="T16" s="254">
        <f>zał2!V67+zał2!V68-zał2!V74-zał2!V75-zał2!V76</f>
        <v>396660</v>
      </c>
      <c r="U16" s="254">
        <f>zał2!W67+zał2!W68-zał2!W74-zał2!W75-zał2!W76</f>
        <v>396660</v>
      </c>
      <c r="V16" s="254">
        <f>zał2!X67+zał2!X68-zał2!X74-zał2!X75-zał2!X76</f>
        <v>396660</v>
      </c>
      <c r="W16" s="254">
        <f>zał2!Y67+zał2!Y68-zał2!Y74-zał2!Y75-zał2!Y76</f>
        <v>396626</v>
      </c>
      <c r="X16" s="254">
        <f>zał2!Z67+zał2!Z68-zał2!Z74-zał2!Z75-zał2!Z76</f>
        <v>0</v>
      </c>
    </row>
    <row r="17" spans="1:24" ht="84.75">
      <c r="A17" s="244" t="s">
        <v>282</v>
      </c>
      <c r="B17" s="228" t="s">
        <v>327</v>
      </c>
      <c r="C17" s="255">
        <f>zał2!E74+zał2!E75+zał2!E76</f>
        <v>1974529.9</v>
      </c>
      <c r="D17" s="255">
        <f>zał2!F74+zał2!F75+zał2!F76</f>
        <v>1245956.9</v>
      </c>
      <c r="E17" s="255">
        <f>zał2!G74+zał2!G75+zał2!G76</f>
        <v>1083800.9</v>
      </c>
      <c r="F17" s="255">
        <f>zał2!H74+zał2!H75+zał2!H76</f>
        <v>1083800.9</v>
      </c>
      <c r="G17" s="255">
        <f>zał2!I74+zał2!I75+zał2!I76</f>
        <v>860083.9</v>
      </c>
      <c r="H17" s="255">
        <f>zał2!J74+zał2!J75+zał2!J76</f>
        <v>860083.9</v>
      </c>
      <c r="I17" s="255">
        <f>zał2!K74+zał2!K75+zał2!K76</f>
        <v>860083.9</v>
      </c>
      <c r="J17" s="255">
        <f>zał2!L74+zał2!L75+zał2!L76</f>
        <v>860083.9</v>
      </c>
      <c r="K17" s="255">
        <f>zał2!M74+zał2!M75+zał2!M76</f>
        <v>860086.9</v>
      </c>
      <c r="L17" s="255">
        <f>zał2!N74+zał2!N75+zał2!N76</f>
        <v>388668.9</v>
      </c>
      <c r="M17" s="255">
        <f>zał2!O74+zał2!O75+zał2!O76</f>
        <v>75188</v>
      </c>
      <c r="N17" s="255">
        <f>zał2!P74+zał2!P75+zał2!P76</f>
        <v>75188</v>
      </c>
      <c r="O17" s="255">
        <f>zał2!Q74+zał2!Q75+zał2!Q76</f>
        <v>75188</v>
      </c>
      <c r="P17" s="255">
        <f>zał2!R74+zał2!R75+zał2!R76</f>
        <v>75188</v>
      </c>
      <c r="Q17" s="255">
        <f>zał2!S74+zał2!S75+zał2!S76</f>
        <v>75188</v>
      </c>
      <c r="R17" s="255">
        <f>zał2!T74+zał2!T75+zał2!T76</f>
        <v>75188</v>
      </c>
      <c r="S17" s="255">
        <f>zał2!U74+zał2!U75+zał2!U76</f>
        <v>75188</v>
      </c>
      <c r="T17" s="255">
        <f>zał2!V74+zał2!V75+zał2!V76</f>
        <v>75188</v>
      </c>
      <c r="U17" s="255">
        <f>zał2!W74+zał2!W75+zał2!W76</f>
        <v>75188</v>
      </c>
      <c r="V17" s="255">
        <f>zał2!X74+zał2!X75+zał2!X76</f>
        <v>75188</v>
      </c>
      <c r="W17" s="255">
        <f>zał2!Y74+zał2!Y75+zał2!Y76</f>
        <v>75234</v>
      </c>
      <c r="X17" s="255">
        <f>zał2!Z74+zał2!Z75+zał2!Z76</f>
        <v>0</v>
      </c>
    </row>
    <row r="18" spans="1:24" ht="12.75">
      <c r="A18" s="244" t="s">
        <v>284</v>
      </c>
      <c r="B18" s="230" t="s">
        <v>328</v>
      </c>
      <c r="C18" s="256">
        <f>zał2!E37</f>
        <v>1650727.24</v>
      </c>
      <c r="D18" s="257">
        <f>zał2!F37</f>
        <v>2200000</v>
      </c>
      <c r="E18" s="257">
        <f>zał2!G37-E22</f>
        <v>1702935.7303045942</v>
      </c>
      <c r="F18" s="257">
        <f>zał2!H37-F22</f>
        <v>1424217.491982294</v>
      </c>
      <c r="G18" s="257">
        <f>zał2!I37-G22</f>
        <v>1259839.6757249576</v>
      </c>
      <c r="H18" s="257">
        <f>zał2!J37-H22</f>
        <v>1095461.8594676214</v>
      </c>
      <c r="I18" s="257">
        <f>zał2!K37-I22</f>
        <v>931084.043210285</v>
      </c>
      <c r="J18" s="257">
        <f>zał2!L37-J22</f>
        <v>766706.2269529486</v>
      </c>
      <c r="K18" s="257">
        <f>zał2!M37-K22</f>
        <v>602327.9822517876</v>
      </c>
      <c r="L18" s="257">
        <f>zał2!N37-L22</f>
        <v>486266.44781130226</v>
      </c>
      <c r="M18" s="257">
        <f>zał2!O37-M22</f>
        <v>443872.43623004394</v>
      </c>
      <c r="N18" s="257">
        <f>zał2!P37-N22</f>
        <v>401478.4246487856</v>
      </c>
      <c r="O18" s="257">
        <f>zał2!Q37-O22</f>
        <v>359084.4130675273</v>
      </c>
      <c r="P18" s="257">
        <f>zał2!R37-P22</f>
        <v>316690.40148626897</v>
      </c>
      <c r="Q18" s="257">
        <f>zał2!S37-Q22</f>
        <v>274296.3899050106</v>
      </c>
      <c r="R18" s="257">
        <f>zał2!T37-R22</f>
        <v>231902.3783237523</v>
      </c>
      <c r="S18" s="257">
        <f>zał2!U37-S22</f>
        <v>189508.36674249396</v>
      </c>
      <c r="T18" s="257">
        <f>zał2!V37-T22</f>
        <v>147114.35516123564</v>
      </c>
      <c r="U18" s="257">
        <f>zał2!W37-U22</f>
        <v>104720.34357997734</v>
      </c>
      <c r="V18" s="257">
        <f>zał2!X37-V22</f>
        <v>62326.331998719026</v>
      </c>
      <c r="W18" s="257">
        <f>zał2!Y37-W22</f>
        <v>19931.749159027757</v>
      </c>
      <c r="X18" s="257">
        <f>zał2!Z37-X22</f>
        <v>0</v>
      </c>
    </row>
    <row r="19" spans="1:24" ht="38.25" customHeight="1">
      <c r="A19" s="244" t="s">
        <v>317</v>
      </c>
      <c r="B19" s="228" t="s">
        <v>329</v>
      </c>
      <c r="C19" s="253">
        <f>SUM(C20:C22)</f>
        <v>0</v>
      </c>
      <c r="D19" s="253">
        <f>SUM(D20:D22)</f>
        <v>0</v>
      </c>
      <c r="E19" s="253">
        <f>SUM(E20:E22)</f>
        <v>862093.7401254058</v>
      </c>
      <c r="F19" s="253">
        <f>SUM(F20:F22)</f>
        <v>789522.4043777062</v>
      </c>
      <c r="G19" s="253">
        <f>SUM(G20:G22)</f>
        <v>746722.4865650426</v>
      </c>
      <c r="H19" s="253">
        <f>SUM(H20:H22)</f>
        <v>703922.568752379</v>
      </c>
      <c r="I19" s="253">
        <f>SUM(I20:I22)</f>
        <v>661122.6509397154</v>
      </c>
      <c r="J19" s="253">
        <f>SUM(J20:J22)</f>
        <v>618322.7331270518</v>
      </c>
      <c r="K19" s="253">
        <f>SUM(K20:K22)</f>
        <v>575522.703758213</v>
      </c>
      <c r="L19" s="253">
        <f>SUM(L20:L22)</f>
        <v>545303.1507286982</v>
      </c>
      <c r="M19" s="253">
        <f>SUM(M20:M22)</f>
        <v>534264.7986399566</v>
      </c>
      <c r="N19" s="253">
        <f>SUM(N20:N22)</f>
        <v>523226.4465512149</v>
      </c>
      <c r="O19" s="253">
        <f>SUM(O20:O22)</f>
        <v>512188.09446247324</v>
      </c>
      <c r="P19" s="253">
        <f>SUM(P20:P22)</f>
        <v>501149.74237373157</v>
      </c>
      <c r="Q19" s="253">
        <f>SUM(Q20:Q22)</f>
        <v>490111.39028498984</v>
      </c>
      <c r="R19" s="253">
        <f>SUM(R20:R22)</f>
        <v>479073.0381962482</v>
      </c>
      <c r="S19" s="253">
        <f>SUM(S20:S22)</f>
        <v>468034.6861075065</v>
      </c>
      <c r="T19" s="253">
        <f>SUM(T20:T22)</f>
        <v>456996.3340187648</v>
      </c>
      <c r="U19" s="253">
        <f>SUM(U20:U22)</f>
        <v>445957.9819300231</v>
      </c>
      <c r="V19" s="253">
        <f>SUM(V20:V22)</f>
        <v>434919.62984128145</v>
      </c>
      <c r="W19" s="253">
        <f>SUM(W20:W22)</f>
        <v>423881.1290109727</v>
      </c>
      <c r="X19" s="253">
        <f>SUM(X20:X22)</f>
        <v>418691.39450000005</v>
      </c>
    </row>
    <row r="20" spans="1:24" ht="24.75">
      <c r="A20" s="244" t="s">
        <v>280</v>
      </c>
      <c r="B20" s="228" t="s">
        <v>326</v>
      </c>
      <c r="C20" s="258">
        <v>0</v>
      </c>
      <c r="D20" s="258">
        <f>SUM(D55-D56)</f>
        <v>0</v>
      </c>
      <c r="E20" s="258">
        <f>zał2!G69-zał2!G77</f>
        <v>287057.0445000001</v>
      </c>
      <c r="F20" s="258">
        <f>zał2!H69-zał2!H77</f>
        <v>287057.0445000001</v>
      </c>
      <c r="G20" s="258">
        <f>zał2!I69-zał2!I77</f>
        <v>287057.0445000001</v>
      </c>
      <c r="H20" s="258">
        <f>zał2!J69-zał2!J77</f>
        <v>287057.0445000001</v>
      </c>
      <c r="I20" s="258">
        <f>zał2!K69-zał2!K77</f>
        <v>287057.0445000001</v>
      </c>
      <c r="J20" s="258">
        <f>zał2!L69-zał2!L77</f>
        <v>287057.0445000001</v>
      </c>
      <c r="K20" s="258">
        <f>zał2!M69-zał2!M77</f>
        <v>287057.0445000001</v>
      </c>
      <c r="L20" s="258">
        <f>zał2!N69-zał2!N77</f>
        <v>287057.0445000001</v>
      </c>
      <c r="M20" s="258">
        <f>zał2!O69-zał2!O77</f>
        <v>287057.0445000001</v>
      </c>
      <c r="N20" s="258">
        <f>zał2!P69-zał2!P77</f>
        <v>287057.0445000001</v>
      </c>
      <c r="O20" s="258">
        <f>zał2!Q69-zał2!Q77</f>
        <v>287057.0445000001</v>
      </c>
      <c r="P20" s="258">
        <f>zał2!R69-zał2!R77</f>
        <v>287057.0445000001</v>
      </c>
      <c r="Q20" s="258">
        <f>zał2!S69-zał2!S77</f>
        <v>287057.0445000001</v>
      </c>
      <c r="R20" s="258">
        <f>zał2!T69-zał2!T77</f>
        <v>287057.0445000001</v>
      </c>
      <c r="S20" s="258">
        <f>zał2!U69-zał2!U77</f>
        <v>287057.0445000001</v>
      </c>
      <c r="T20" s="258">
        <f>zał2!V69-zał2!V77</f>
        <v>287057.0445000001</v>
      </c>
      <c r="U20" s="258">
        <f>zał2!W69-zał2!W77</f>
        <v>287057.0445000001</v>
      </c>
      <c r="V20" s="258">
        <f>zał2!X69-zał2!X77</f>
        <v>287057.0445000001</v>
      </c>
      <c r="W20" s="258">
        <f>zał2!Y69-zał2!Y77</f>
        <v>287057.0445000001</v>
      </c>
      <c r="X20" s="258">
        <f>zał2!Z69-zał2!Z77</f>
        <v>287057.0445000001</v>
      </c>
    </row>
    <row r="21" spans="1:24" ht="84.75">
      <c r="A21" s="244" t="s">
        <v>282</v>
      </c>
      <c r="B21" s="228" t="s">
        <v>327</v>
      </c>
      <c r="C21" s="258">
        <v>0</v>
      </c>
      <c r="D21" s="258">
        <f>SUM(D56)</f>
        <v>0</v>
      </c>
      <c r="E21" s="258">
        <f>zał2!G77</f>
        <v>131634.35</v>
      </c>
      <c r="F21" s="258">
        <f>zał2!H77</f>
        <v>131634.35</v>
      </c>
      <c r="G21" s="258">
        <f>zał2!I77</f>
        <v>131634.35</v>
      </c>
      <c r="H21" s="258">
        <f>zał2!J77</f>
        <v>131634.35</v>
      </c>
      <c r="I21" s="258">
        <f>zał2!K77</f>
        <v>131634.35</v>
      </c>
      <c r="J21" s="258">
        <f>zał2!L77</f>
        <v>131634.35</v>
      </c>
      <c r="K21" s="258">
        <f>zał2!M77</f>
        <v>131634.35</v>
      </c>
      <c r="L21" s="258">
        <f>zał2!N77</f>
        <v>131634.35</v>
      </c>
      <c r="M21" s="258">
        <f>zał2!O77</f>
        <v>131634.35</v>
      </c>
      <c r="N21" s="258">
        <f>zał2!P77</f>
        <v>131634.35</v>
      </c>
      <c r="O21" s="258">
        <f>zał2!Q77</f>
        <v>131634.35</v>
      </c>
      <c r="P21" s="258">
        <f>zał2!R77</f>
        <v>131634.35</v>
      </c>
      <c r="Q21" s="258">
        <f>zał2!S77</f>
        <v>131634.35</v>
      </c>
      <c r="R21" s="258">
        <f>zał2!T77</f>
        <v>131634.35</v>
      </c>
      <c r="S21" s="258">
        <f>zał2!U77</f>
        <v>131634.35</v>
      </c>
      <c r="T21" s="258">
        <f>zał2!V77</f>
        <v>131634.35</v>
      </c>
      <c r="U21" s="258">
        <f>zał2!W77</f>
        <v>131634.35</v>
      </c>
      <c r="V21" s="258">
        <f>zał2!X77</f>
        <v>131634.35</v>
      </c>
      <c r="W21" s="258">
        <f>zał2!Y77</f>
        <v>131634.35</v>
      </c>
      <c r="X21" s="258">
        <f>zał2!Z77</f>
        <v>131634.35</v>
      </c>
    </row>
    <row r="22" spans="1:24" ht="12.75">
      <c r="A22" s="244" t="s">
        <v>284</v>
      </c>
      <c r="B22" s="230" t="s">
        <v>328</v>
      </c>
      <c r="C22" s="258">
        <v>0</v>
      </c>
      <c r="D22" s="258">
        <f>SUM(D62*0.25)</f>
        <v>0</v>
      </c>
      <c r="E22" s="258">
        <f>zał2!$F$15/zał2!$E$43*zał2!G37</f>
        <v>443402.3456254058</v>
      </c>
      <c r="F22" s="258">
        <f>zał2!$F$15/zał2!$E$43*zał2!H37</f>
        <v>370831.0098777062</v>
      </c>
      <c r="G22" s="258">
        <f>zał2!$F$15/zał2!$E$43*zał2!I37</f>
        <v>328031.0920650426</v>
      </c>
      <c r="H22" s="258">
        <f>zał2!$F$15/zał2!$E$43*zał2!J37</f>
        <v>285231.174252379</v>
      </c>
      <c r="I22" s="258">
        <f>zał2!$F$15/zał2!$E$43*zał2!K37</f>
        <v>242431.2564397154</v>
      </c>
      <c r="J22" s="258">
        <f>zał2!$F$15/zał2!$E$43*zał2!L37</f>
        <v>199631.33862705177</v>
      </c>
      <c r="K22" s="258">
        <f>zał2!$F$15/zał2!$E$43*zał2!M37</f>
        <v>156831.3092582129</v>
      </c>
      <c r="L22" s="258">
        <f>zał2!$F$15/zał2!$E$43*zał2!N37</f>
        <v>126611.75622869818</v>
      </c>
      <c r="M22" s="258">
        <f>zał2!$F$15/zał2!$E$43*zał2!O37</f>
        <v>115573.4041399565</v>
      </c>
      <c r="N22" s="258">
        <f>zał2!$F$15/zał2!$E$43*zał2!P37</f>
        <v>104535.05205121484</v>
      </c>
      <c r="O22" s="258">
        <f>zał2!$F$15/zał2!$E$43*zał2!Q37</f>
        <v>93496.69996247314</v>
      </c>
      <c r="P22" s="258">
        <f>zał2!$F$15/zał2!$E$43*zał2!R37</f>
        <v>82458.34787373146</v>
      </c>
      <c r="Q22" s="258">
        <f>zał2!$F$15/zał2!$E$43*zał2!S37</f>
        <v>71419.99578498976</v>
      </c>
      <c r="R22" s="258">
        <f>zał2!$F$15/zał2!$E$43*zał2!T37</f>
        <v>60381.64369624809</v>
      </c>
      <c r="S22" s="258">
        <f>zał2!$F$15/zał2!$E$43*zał2!U37</f>
        <v>49343.2916075064</v>
      </c>
      <c r="T22" s="258">
        <f>zał2!$F$15/zał2!$E$43*zał2!V37</f>
        <v>38304.939518764724</v>
      </c>
      <c r="U22" s="258">
        <f>zał2!$F$15/zał2!$E$43*zał2!W37</f>
        <v>27266.587430023043</v>
      </c>
      <c r="V22" s="258">
        <f>zał2!$F$15/zał2!$E$43*zał2!X37</f>
        <v>16228.235341281363</v>
      </c>
      <c r="W22" s="258">
        <f>zał2!$F$15/zał2!$E$43*zał2!Y37</f>
        <v>5189.734510972622</v>
      </c>
      <c r="X22" s="258">
        <f>zał2!$F$15/zał2!$E$43*zał2!Z37</f>
        <v>0</v>
      </c>
    </row>
    <row r="23" spans="1:24" ht="24.75">
      <c r="A23" s="244" t="s">
        <v>319</v>
      </c>
      <c r="B23" s="228" t="s">
        <v>330</v>
      </c>
      <c r="C23" s="251">
        <f>zał1!G13</f>
        <v>1192000</v>
      </c>
      <c r="D23" s="251">
        <f>zał2!F32</f>
        <v>1192000</v>
      </c>
      <c r="E23" s="251">
        <f>zał2!G32</f>
        <v>1000000</v>
      </c>
      <c r="F23" s="251">
        <f>zał2!H32</f>
        <v>0</v>
      </c>
      <c r="G23" s="251">
        <f>zał2!I32</f>
        <v>0</v>
      </c>
      <c r="H23" s="251">
        <f>zał2!J32</f>
        <v>0</v>
      </c>
      <c r="I23" s="251">
        <f>zał2!K32</f>
        <v>0</v>
      </c>
      <c r="J23" s="251">
        <f>zał2!L32</f>
        <v>0</v>
      </c>
      <c r="K23" s="251">
        <f>zał2!M32</f>
        <v>0</v>
      </c>
      <c r="L23" s="251">
        <f>zał2!N32</f>
        <v>0</v>
      </c>
      <c r="M23" s="251">
        <f>zał2!O32</f>
        <v>0</v>
      </c>
      <c r="N23" s="251">
        <f>zał2!P32</f>
        <v>0</v>
      </c>
      <c r="O23" s="251">
        <f>zał2!Q32</f>
        <v>0</v>
      </c>
      <c r="P23" s="251">
        <f>zał2!R32</f>
        <v>0</v>
      </c>
      <c r="Q23" s="251">
        <f>zał2!S32</f>
        <v>0</v>
      </c>
      <c r="R23" s="251">
        <f>zał2!T32</f>
        <v>0</v>
      </c>
      <c r="S23" s="251">
        <f>zał2!U32</f>
        <v>0</v>
      </c>
      <c r="T23" s="251">
        <f>zał2!V32</f>
        <v>0</v>
      </c>
      <c r="U23" s="251">
        <f>zał2!W32</f>
        <v>0</v>
      </c>
      <c r="V23" s="251">
        <f>zał2!X32</f>
        <v>0</v>
      </c>
      <c r="W23" s="251">
        <f>zał2!Y32</f>
        <v>0</v>
      </c>
      <c r="X23" s="251">
        <f>zał2!Z32</f>
        <v>0</v>
      </c>
    </row>
    <row r="24" spans="1:24" ht="24.75">
      <c r="A24" s="244" t="s">
        <v>331</v>
      </c>
      <c r="B24" s="228" t="s">
        <v>332</v>
      </c>
      <c r="C24" s="251">
        <f>zał2!E27</f>
        <v>0</v>
      </c>
      <c r="D24" s="251">
        <f>zał2!F27</f>
        <v>0</v>
      </c>
      <c r="E24" s="251">
        <f>zał2!G27</f>
        <v>0</v>
      </c>
      <c r="F24" s="251">
        <f>zał2!H27</f>
        <v>0</v>
      </c>
      <c r="G24" s="251">
        <f>zał2!I27</f>
        <v>0</v>
      </c>
      <c r="H24" s="251">
        <f>zał2!J27</f>
        <v>0</v>
      </c>
      <c r="I24" s="251">
        <f>zał2!K27</f>
        <v>0</v>
      </c>
      <c r="J24" s="251">
        <f>zał2!L27</f>
        <v>0</v>
      </c>
      <c r="K24" s="251">
        <f>zał2!M27</f>
        <v>0</v>
      </c>
      <c r="L24" s="251">
        <f>zał2!N27</f>
        <v>0</v>
      </c>
      <c r="M24" s="251">
        <f>zał2!O27</f>
        <v>0</v>
      </c>
      <c r="N24" s="251">
        <f>zał2!P27</f>
        <v>0</v>
      </c>
      <c r="O24" s="251">
        <f>zał2!Q27</f>
        <v>0</v>
      </c>
      <c r="P24" s="251">
        <f>zał2!R27</f>
        <v>0</v>
      </c>
      <c r="Q24" s="251">
        <f>zał2!S27</f>
        <v>0</v>
      </c>
      <c r="R24" s="251">
        <f>zał2!T27</f>
        <v>0</v>
      </c>
      <c r="S24" s="251">
        <f>zał2!U27</f>
        <v>0</v>
      </c>
      <c r="T24" s="251">
        <f>zał2!V27</f>
        <v>0</v>
      </c>
      <c r="U24" s="251">
        <f>zał2!W27</f>
        <v>0</v>
      </c>
      <c r="V24" s="251">
        <f>zał2!X27</f>
        <v>0</v>
      </c>
      <c r="W24" s="251">
        <f>zał2!Y27</f>
        <v>0</v>
      </c>
      <c r="X24" s="251">
        <f>zał2!Z27</f>
        <v>0</v>
      </c>
    </row>
    <row r="25" spans="1:24" ht="12.75">
      <c r="A25" s="244" t="s">
        <v>333</v>
      </c>
      <c r="B25" s="252" t="s">
        <v>334</v>
      </c>
      <c r="C25" s="253">
        <f>C6-C13</f>
        <v>-7771882.680000007</v>
      </c>
      <c r="D25" s="247">
        <f>D6-D13</f>
        <v>-1803765</v>
      </c>
      <c r="E25" s="247">
        <f>E6-E13</f>
        <v>12055236.270909995</v>
      </c>
      <c r="F25" s="247">
        <f>F6-F13</f>
        <v>10293157.728308216</v>
      </c>
      <c r="G25" s="247">
        <f>G6-G13</f>
        <v>10738669.232885778</v>
      </c>
      <c r="H25" s="247">
        <f>H6-H13</f>
        <v>11124459.302555233</v>
      </c>
      <c r="I25" s="247">
        <f>I6-I13</f>
        <v>11523795.604087941</v>
      </c>
      <c r="J25" s="247">
        <f>J6-J13</f>
        <v>11937145.67286279</v>
      </c>
      <c r="K25" s="247">
        <f>K6-K13</f>
        <v>12364992.965921082</v>
      </c>
      <c r="L25" s="247">
        <f>L6-L13</f>
        <v>12807837.39838016</v>
      </c>
      <c r="M25" s="247">
        <f>M6-M13</f>
        <v>13266195.897760957</v>
      </c>
      <c r="N25" s="247">
        <f>N6-N13</f>
        <v>13740602.976823479</v>
      </c>
      <c r="O25" s="247">
        <f>O6-O13</f>
        <v>14231611.325523898</v>
      </c>
      <c r="P25" s="247">
        <f>P6-P13</f>
        <v>14739792.422726601</v>
      </c>
      <c r="Q25" s="247">
        <f>Q6-Q13</f>
        <v>15265737.168325916</v>
      </c>
      <c r="R25" s="247">
        <f>R6-R13</f>
        <v>15810056.53645368</v>
      </c>
      <c r="S25" s="247">
        <f>S6-S13</f>
        <v>16373382.250470683</v>
      </c>
      <c r="T25" s="247">
        <f>T6-T13</f>
        <v>16956367.480463803</v>
      </c>
      <c r="U25" s="247">
        <f>U6-U13</f>
        <v>17559687.563993573</v>
      </c>
      <c r="V25" s="247">
        <f>V6-V13</f>
        <v>18184040.75086184</v>
      </c>
      <c r="W25" s="247">
        <f>W6-W13</f>
        <v>18830148.97269453</v>
      </c>
      <c r="X25" s="247">
        <f>X6-X13</f>
        <v>19498758.638160735</v>
      </c>
    </row>
    <row r="26" spans="1:24" ht="24.75">
      <c r="A26" s="244" t="s">
        <v>335</v>
      </c>
      <c r="B26" s="245" t="s">
        <v>336</v>
      </c>
      <c r="C26" s="258">
        <f>zał1!G31</f>
        <v>41627126.7</v>
      </c>
      <c r="D26" s="258">
        <f>zał2!F43</f>
        <v>41627126.7</v>
      </c>
      <c r="E26" s="258">
        <f>zał2!G43</f>
        <v>35772301.2655</v>
      </c>
      <c r="F26" s="258">
        <f>zał2!H43</f>
        <v>29917475.031000003</v>
      </c>
      <c r="G26" s="258">
        <f>zał2!I43</f>
        <v>26464512.796500005</v>
      </c>
      <c r="H26" s="258">
        <f>zał2!J43</f>
        <v>23011550.562000006</v>
      </c>
      <c r="I26" s="258">
        <f>zał2!K43</f>
        <v>19558588.327500008</v>
      </c>
      <c r="J26" s="258">
        <f>zał2!L43</f>
        <v>16105626.093000008</v>
      </c>
      <c r="K26" s="258">
        <f>zał2!M43</f>
        <v>12652654.858500008</v>
      </c>
      <c r="L26" s="258">
        <f>zał2!N43</f>
        <v>10214636.734000009</v>
      </c>
      <c r="M26" s="258">
        <f>zał2!O43</f>
        <v>9324097.339500008</v>
      </c>
      <c r="N26" s="258">
        <f>zał2!P43</f>
        <v>8433557.945000008</v>
      </c>
      <c r="O26" s="258">
        <f>zał2!Q43</f>
        <v>7543018.550500007</v>
      </c>
      <c r="P26" s="258">
        <f>zał2!R43</f>
        <v>6652479.156000007</v>
      </c>
      <c r="Q26" s="258">
        <f>zał2!S43</f>
        <v>5761939.761500007</v>
      </c>
      <c r="R26" s="258">
        <f>zał2!T43</f>
        <v>4871400.367000006</v>
      </c>
      <c r="S26" s="258">
        <f>zał2!U43</f>
        <v>3980860.972500006</v>
      </c>
      <c r="T26" s="258">
        <f>zał2!V43</f>
        <v>3090321.5780000063</v>
      </c>
      <c r="U26" s="258">
        <f>zał2!W43</f>
        <v>2199782.1835000063</v>
      </c>
      <c r="V26" s="258">
        <f>zał2!X43</f>
        <v>1309242.7890000064</v>
      </c>
      <c r="W26" s="258">
        <f>zał2!Y43</f>
        <v>418691.39450000634</v>
      </c>
      <c r="X26" s="258">
        <f>zał2!Z43</f>
        <v>0</v>
      </c>
    </row>
    <row r="27" spans="1:24" ht="72.75">
      <c r="A27" s="244" t="s">
        <v>280</v>
      </c>
      <c r="B27" s="228" t="s">
        <v>337</v>
      </c>
      <c r="C27" s="258">
        <f>zał1!G32</f>
        <v>10316494.2</v>
      </c>
      <c r="D27" s="259">
        <f>zał2!F47</f>
        <v>10316494.2</v>
      </c>
      <c r="E27" s="259">
        <f>zał2!G47</f>
        <v>9101058.95</v>
      </c>
      <c r="F27" s="259">
        <f>zał2!H47</f>
        <v>7885623.699999999</v>
      </c>
      <c r="G27" s="259">
        <f>zał2!I47</f>
        <v>6893905.449999999</v>
      </c>
      <c r="H27" s="259">
        <f>zał2!J47</f>
        <v>5902187.199999999</v>
      </c>
      <c r="I27" s="259">
        <f>zał2!K47</f>
        <v>4910468.949999999</v>
      </c>
      <c r="J27" s="259">
        <f>zał2!L47</f>
        <v>3918750.6999999993</v>
      </c>
      <c r="K27" s="259">
        <f>zał2!M47</f>
        <v>2927029.4499999993</v>
      </c>
      <c r="L27" s="259">
        <f>zał2!N47</f>
        <v>2406726.1999999993</v>
      </c>
      <c r="M27" s="259">
        <f>zał2!O47</f>
        <v>2199903.849999999</v>
      </c>
      <c r="N27" s="259">
        <f>zał2!P47</f>
        <v>1993081.499999999</v>
      </c>
      <c r="O27" s="259">
        <f>zał2!Q47</f>
        <v>1786259.149999999</v>
      </c>
      <c r="P27" s="259">
        <f>zał2!R47</f>
        <v>1579436.7999999989</v>
      </c>
      <c r="Q27" s="259">
        <f>zał2!S47</f>
        <v>1372614.4499999988</v>
      </c>
      <c r="R27" s="259">
        <f>zał2!T47</f>
        <v>1165792.0999999987</v>
      </c>
      <c r="S27" s="259">
        <f>zał2!U47</f>
        <v>958969.7499999987</v>
      </c>
      <c r="T27" s="259">
        <f>zał2!V47</f>
        <v>752147.3999999987</v>
      </c>
      <c r="U27" s="259">
        <f>zał2!W47</f>
        <v>545325.0499999988</v>
      </c>
      <c r="V27" s="259">
        <f>zał2!X47</f>
        <v>338502.6999999988</v>
      </c>
      <c r="W27" s="259">
        <f>zał2!Y47</f>
        <v>131634.34999999878</v>
      </c>
      <c r="X27" s="260">
        <f>zał2!Z47</f>
        <v>-1.2223608791828156E-09</v>
      </c>
    </row>
    <row r="28" spans="1:24" ht="24.75">
      <c r="A28" s="244" t="s">
        <v>338</v>
      </c>
      <c r="B28" s="245" t="s">
        <v>339</v>
      </c>
      <c r="C28" s="261">
        <f>C26/C6</f>
        <v>0.572791512288785</v>
      </c>
      <c r="D28" s="261">
        <f>D26/D6</f>
        <v>0.47368957966825126</v>
      </c>
      <c r="E28" s="261">
        <f>E26/E6</f>
        <v>0.526049613198821</v>
      </c>
      <c r="F28" s="261">
        <f>F26/F6</f>
        <v>0.4577515180152638</v>
      </c>
      <c r="G28" s="261">
        <f>G26/G6</f>
        <v>0.39276570453667253</v>
      </c>
      <c r="H28" s="261">
        <f>H26/H6</f>
        <v>0.33126863458473127</v>
      </c>
      <c r="I28" s="261">
        <f>I26/I6</f>
        <v>0.27310943078174466</v>
      </c>
      <c r="J28" s="261">
        <f>J26/J6</f>
        <v>0.21814312950099135</v>
      </c>
      <c r="K28" s="261">
        <f>K26/K6</f>
        <v>0.16623034356708183</v>
      </c>
      <c r="L28" s="261">
        <f>L26/L6</f>
        <v>0.13017160510883485</v>
      </c>
      <c r="M28" s="261">
        <f>M26/M6</f>
        <v>0.1152563345399666</v>
      </c>
      <c r="N28" s="261">
        <f>N26/N6</f>
        <v>0.10111916812105796</v>
      </c>
      <c r="O28" s="261">
        <f>O26/O6</f>
        <v>0.08772683460137043</v>
      </c>
      <c r="P28" s="261">
        <f>P26/P6</f>
        <v>0.07504735892626004</v>
      </c>
      <c r="Q28" s="261">
        <f>Q26/Q6</f>
        <v>0.06305001440457655</v>
      </c>
      <c r="R28" s="261">
        <f>R26/R6</f>
        <v>0.05170527657954481</v>
      </c>
      <c r="S28" s="261">
        <f>S26/S6</f>
        <v>0.0409847787439669</v>
      </c>
      <c r="T28" s="261">
        <f>T26/T6</f>
        <v>0.030861269042600812</v>
      </c>
      <c r="U28" s="261">
        <f>U26/U6</f>
        <v>0.0213085691065194</v>
      </c>
      <c r="V28" s="261">
        <f>V26/V6</f>
        <v>0.012301534166137159</v>
      </c>
      <c r="W28" s="261">
        <f>W26/W6</f>
        <v>0.003815905224792083</v>
      </c>
      <c r="X28" s="261">
        <f>X26/X6</f>
        <v>0</v>
      </c>
    </row>
    <row r="29" spans="1:24" ht="48.75">
      <c r="A29" s="244" t="s">
        <v>340</v>
      </c>
      <c r="B29" s="245" t="s">
        <v>341</v>
      </c>
      <c r="C29" s="261">
        <f>C14/C6</f>
        <v>0.1313240462675008</v>
      </c>
      <c r="D29" s="261">
        <f>D14/D6</f>
        <v>0.12145338923726688</v>
      </c>
      <c r="E29" s="261">
        <f>E14/E6</f>
        <v>0.13236661929736382</v>
      </c>
      <c r="F29" s="261">
        <f>F14/F6</f>
        <v>0.11704670162060661</v>
      </c>
      <c r="G29" s="261">
        <f>G14/G6</f>
        <v>0.07481212069991268</v>
      </c>
      <c r="H29" s="261">
        <f>H14/H6</f>
        <v>0.0695841150053021</v>
      </c>
      <c r="I29" s="261">
        <f>I14/I6</f>
        <v>0.06460254823706606</v>
      </c>
      <c r="J29" s="261">
        <f>J14/J6</f>
        <v>0.05985733699676274</v>
      </c>
      <c r="K29" s="261">
        <f>K14/K6</f>
        <v>0.05533889229718887</v>
      </c>
      <c r="L29" s="261">
        <f>L14/L6</f>
        <v>0.038879510103849255</v>
      </c>
      <c r="M29" s="261">
        <f>M14/M6</f>
        <v>0.017923449018513827</v>
      </c>
      <c r="N29" s="261">
        <f>N14/N6</f>
        <v>0.016744802785939584</v>
      </c>
      <c r="O29" s="261">
        <f>O14/O6</f>
        <v>0.015620763733370716</v>
      </c>
      <c r="P29" s="261">
        <f>P14/P6</f>
        <v>0.014549115715441025</v>
      </c>
      <c r="Q29" s="261">
        <f>Q14/Q6</f>
        <v>0.013527726421150379</v>
      </c>
      <c r="R29" s="261">
        <f>R14/R6</f>
        <v>0.012554544338057007</v>
      </c>
      <c r="S29" s="261">
        <f>S14/S6</f>
        <v>0.011627595823172904</v>
      </c>
      <c r="T29" s="261">
        <f>T14/T6</f>
        <v>0.01074498227689236</v>
      </c>
      <c r="U29" s="261">
        <f>U14/U6</f>
        <v>0.009904877416407684</v>
      </c>
      <c r="V29" s="261">
        <f>V14/V6</f>
        <v>0.009105524645186285</v>
      </c>
      <c r="W29" s="261">
        <f>W14/W6</f>
        <v>0.008345337319822215</v>
      </c>
      <c r="X29" s="261">
        <f>X14/X6</f>
        <v>0.003701365875785132</v>
      </c>
    </row>
    <row r="30" spans="1:24" ht="36.75">
      <c r="A30" s="244" t="s">
        <v>342</v>
      </c>
      <c r="B30" s="245" t="s">
        <v>343</v>
      </c>
      <c r="C30" s="261">
        <f>(C26-C27)/C6</f>
        <v>0.43083599475035067</v>
      </c>
      <c r="D30" s="261">
        <f>(D26-D27)/D6</f>
        <v>0.3562945973898335</v>
      </c>
      <c r="E30" s="261">
        <f>(E26-E27)/E6</f>
        <v>0.39221398141170716</v>
      </c>
      <c r="F30" s="261">
        <f>(F26-F27)/F6</f>
        <v>0.3370977457489922</v>
      </c>
      <c r="G30" s="261">
        <f>(G26-G27)/G6</f>
        <v>0.29045172460817925</v>
      </c>
      <c r="H30" s="261">
        <f>(H26-H27)/H6</f>
        <v>0.24630219611985868</v>
      </c>
      <c r="I30" s="261">
        <f>(I26-I27)/I6</f>
        <v>0.20454132364896618</v>
      </c>
      <c r="J30" s="261">
        <f>(J26-J27)/J6</f>
        <v>0.16506549461142045</v>
      </c>
      <c r="K30" s="261">
        <f>(K26-K27)/K6</f>
        <v>0.1277750852402022</v>
      </c>
      <c r="L30" s="261">
        <f>(L26-L27)/L6</f>
        <v>0.09950116418471552</v>
      </c>
      <c r="M30" s="261">
        <f>(M26-M27)/M6</f>
        <v>0.08806304763408827</v>
      </c>
      <c r="N30" s="261">
        <f>(N26-N27)/N6</f>
        <v>0.0772219298982559</v>
      </c>
      <c r="O30" s="261">
        <f>(O26-O27)/O6</f>
        <v>0.0669522786383804</v>
      </c>
      <c r="P30" s="261">
        <f>(P26-P27)/P6</f>
        <v>0.05722955632194272</v>
      </c>
      <c r="Q30" s="261">
        <f>(Q26-Q27)/Q6</f>
        <v>0.04803018350965931</v>
      </c>
      <c r="R30" s="261">
        <f>(R26-R27)/R6</f>
        <v>0.03933150344993659</v>
      </c>
      <c r="S30" s="261">
        <f>(S26-S27)/S6</f>
        <v>0.031111747935451985</v>
      </c>
      <c r="T30" s="261">
        <f>(T26-T27)/T6</f>
        <v>0.023350004377997485</v>
      </c>
      <c r="U30" s="261">
        <f>(U26-U27)/U6</f>
        <v>0.0160261840592177</v>
      </c>
      <c r="V30" s="261">
        <f>(V26-V27)/V6</f>
        <v>0.009120991516320325</v>
      </c>
      <c r="W30" s="261">
        <f>(W26-W27)/W6</f>
        <v>0.0026162048953240085</v>
      </c>
      <c r="X30" s="261">
        <f>(X26-X27)/X6</f>
        <v>1.080606123157849E-17</v>
      </c>
    </row>
    <row r="31" spans="1:24" ht="48.75">
      <c r="A31" s="244" t="s">
        <v>344</v>
      </c>
      <c r="B31" s="245" t="s">
        <v>345</v>
      </c>
      <c r="C31" s="261">
        <f>(C14-C21-C17+C23)/C6</f>
        <v>0.12055639256748715</v>
      </c>
      <c r="D31" s="261">
        <f>(D14-D21-D17)/D6</f>
        <v>0.1072752115191839</v>
      </c>
      <c r="E31" s="261">
        <f>(E14-E21-E17)/E6</f>
        <v>0.11449303497341227</v>
      </c>
      <c r="F31" s="261">
        <f>(F14-F21-F17)/F6</f>
        <v>0.09844996743230153</v>
      </c>
      <c r="G31" s="261">
        <f>(G14-G21-G17)/G6</f>
        <v>0.06009381017750473</v>
      </c>
      <c r="H31" s="261">
        <f>(H14-H21-H17)/H6</f>
        <v>0.05530758245765329</v>
      </c>
      <c r="I31" s="261">
        <f>(I14-I21-I17)/I6</f>
        <v>0.050754534146368754</v>
      </c>
      <c r="J31" s="261">
        <f>(J14-J21-J17)/J6</f>
        <v>0.046424979795059614</v>
      </c>
      <c r="K31" s="261">
        <f>(K14-K21-K17)/K6</f>
        <v>0.04230967700965359</v>
      </c>
      <c r="L31" s="261">
        <f>(L14-L21-L17)/L6</f>
        <v>0.03224895524814847</v>
      </c>
      <c r="M31" s="261">
        <f>(M14-M21-M17)/M6</f>
        <v>0.015366892057127544</v>
      </c>
      <c r="N31" s="261">
        <f>(N14-N21-N17)/N6</f>
        <v>0.01426498298541976</v>
      </c>
      <c r="O31" s="261">
        <f>(O14-O21-O17)/O6</f>
        <v>0.013215377883018532</v>
      </c>
      <c r="P31" s="261">
        <f>(P14-P21-P17)/P6</f>
        <v>0.01221592973011953</v>
      </c>
      <c r="Q31" s="261">
        <f>(Q14-Q21-Q17)/Q6</f>
        <v>0.01126457326675266</v>
      </c>
      <c r="R31" s="261">
        <f>(R14-R21-R17)/R6</f>
        <v>0.010359322019229808</v>
      </c>
      <c r="S31" s="261">
        <f>(S14-S21-S17)/S6</f>
        <v>0.009498265431427537</v>
      </c>
      <c r="T31" s="261">
        <f>(T14-T21-T17)/T6</f>
        <v>0.008679566097290828</v>
      </c>
      <c r="U31" s="261">
        <f>(U14-U21-U17)/U6</f>
        <v>0.007901457091066308</v>
      </c>
      <c r="V31" s="261">
        <f>(V14-V21-V17)/V6</f>
        <v>0.00716223939189186</v>
      </c>
      <c r="W31" s="261">
        <f>(W14-W21-W17)/W6</f>
        <v>0.006459962965396344</v>
      </c>
      <c r="X31" s="261">
        <f>(X14-X21-X17)/X6</f>
        <v>0.0025376761091182023</v>
      </c>
    </row>
    <row r="36" spans="1:25" ht="12.75">
      <c r="A36" s="262"/>
      <c r="B36" s="262"/>
      <c r="C36" s="262"/>
      <c r="D36" s="263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</row>
    <row r="37" spans="1:25" ht="12.75">
      <c r="A37" s="262"/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</row>
    <row r="38" spans="1:25" ht="17.25">
      <c r="A38" s="262"/>
      <c r="B38" s="264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</row>
    <row r="39" spans="1:25" ht="12.75">
      <c r="A39" s="262"/>
      <c r="B39" s="262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2"/>
    </row>
    <row r="40" spans="1:25" ht="12.75">
      <c r="A40" s="262"/>
      <c r="B40" s="262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2"/>
    </row>
    <row r="41" spans="1:25" ht="12.75">
      <c r="A41" s="262"/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</row>
    <row r="42" spans="1:25" ht="12.75">
      <c r="A42" s="262"/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</row>
    <row r="43" spans="1:25" ht="12.75">
      <c r="A43" s="262"/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</row>
    <row r="44" spans="1:25" ht="12.75">
      <c r="A44" s="262"/>
      <c r="B44" s="265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</row>
    <row r="45" spans="1:25" ht="12.75">
      <c r="A45" s="262"/>
      <c r="B45" s="265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</row>
    <row r="46" spans="1:25" ht="12.75">
      <c r="A46" s="262"/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</row>
    <row r="47" spans="1:25" ht="12.75">
      <c r="A47" s="262"/>
      <c r="B47" s="265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</row>
    <row r="48" spans="1:25" ht="12.75">
      <c r="A48" s="262"/>
      <c r="B48" s="265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</row>
    <row r="49" spans="1:25" ht="12.75">
      <c r="A49" s="262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6"/>
    </row>
    <row r="50" spans="1:25" ht="12.75">
      <c r="A50" s="262"/>
      <c r="B50" s="262"/>
      <c r="C50" s="262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</row>
    <row r="51" spans="1:25" ht="12.75">
      <c r="A51" s="262"/>
      <c r="B51" s="262"/>
      <c r="C51" s="262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</row>
    <row r="52" spans="1:25" ht="12.75">
      <c r="A52" s="262"/>
      <c r="B52" s="262"/>
      <c r="C52" s="262"/>
      <c r="D52" s="158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</row>
    <row r="53" spans="1:25" ht="12.75">
      <c r="A53" s="262"/>
      <c r="B53" s="262"/>
      <c r="C53" s="262"/>
      <c r="D53" s="158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</row>
    <row r="54" spans="1:25" ht="12.75">
      <c r="A54" s="262"/>
      <c r="B54" s="262"/>
      <c r="C54" s="262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2"/>
    </row>
    <row r="55" spans="1:25" ht="12.75">
      <c r="A55" s="262"/>
      <c r="B55" s="267"/>
      <c r="C55" s="262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2"/>
    </row>
    <row r="56" spans="1:25" ht="12.75">
      <c r="A56" s="262"/>
      <c r="B56" s="262"/>
      <c r="C56" s="262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2"/>
    </row>
    <row r="57" spans="1:25" ht="12.75">
      <c r="A57" s="262"/>
      <c r="B57" s="262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</row>
    <row r="58" spans="1:25" ht="12.75">
      <c r="A58" s="262"/>
      <c r="B58" s="267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2"/>
    </row>
    <row r="59" spans="1:25" ht="12.75">
      <c r="A59" s="262"/>
      <c r="B59" s="262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2"/>
    </row>
    <row r="60" spans="1:25" ht="12.75">
      <c r="A60" s="262"/>
      <c r="B60" s="262"/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262"/>
    </row>
    <row r="61" spans="1:25" ht="12.75">
      <c r="A61" s="262"/>
      <c r="B61" s="262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</row>
    <row r="62" spans="1:25" ht="12.75">
      <c r="A62" s="262"/>
      <c r="B62" s="262"/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</row>
    <row r="63" spans="1:25" ht="12.75">
      <c r="A63" s="262"/>
      <c r="B63" s="262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</row>
    <row r="64" spans="1:25" ht="12.75">
      <c r="A64" s="262"/>
      <c r="B64" s="262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</row>
    <row r="65" spans="1:25" ht="12.75">
      <c r="A65" s="262"/>
      <c r="B65" s="262"/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</row>
    <row r="66" spans="1:25" ht="12.75">
      <c r="A66" s="262"/>
      <c r="B66" s="262"/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</row>
    <row r="67" spans="1:25" ht="12.75">
      <c r="A67" s="262"/>
      <c r="B67" s="262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</row>
    <row r="68" spans="1:25" ht="12.75">
      <c r="A68" s="262"/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62"/>
      <c r="Y68" s="262"/>
    </row>
    <row r="69" spans="1:25" ht="12.75">
      <c r="A69" s="262"/>
      <c r="B69" s="262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2"/>
      <c r="V69" s="262"/>
      <c r="W69" s="262"/>
      <c r="X69" s="262"/>
      <c r="Y69" s="262"/>
    </row>
  </sheetData>
  <sheetProtection selectLockedCells="1" selectUnlockedCells="1"/>
  <mergeCells count="5">
    <mergeCell ref="V1:X1"/>
    <mergeCell ref="A3:A4"/>
    <mergeCell ref="B3:B4"/>
    <mergeCell ref="C3:C4"/>
    <mergeCell ref="D3:X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AA78"/>
  <sheetViews>
    <sheetView workbookViewId="0" topLeftCell="A1">
      <selection activeCell="E12" sqref="E12"/>
    </sheetView>
  </sheetViews>
  <sheetFormatPr defaultColWidth="12.57421875" defaultRowHeight="12.75"/>
  <cols>
    <col min="1" max="1" width="1.8515625" style="0" customWidth="1"/>
    <col min="2" max="2" width="50.7109375" style="0" customWidth="1"/>
    <col min="3" max="7" width="12.28125" style="0" customWidth="1"/>
    <col min="8" max="21" width="12.7109375" style="0" customWidth="1"/>
    <col min="22" max="24" width="13.7109375" style="0" customWidth="1"/>
    <col min="25" max="16384" width="11.57421875" style="0" customWidth="1"/>
  </cols>
  <sheetData>
    <row r="1" ht="16.5" customHeight="1">
      <c r="B1" s="269" t="s">
        <v>346</v>
      </c>
    </row>
    <row r="2" spans="2:6" ht="13.5" customHeight="1">
      <c r="B2" s="141" t="s">
        <v>347</v>
      </c>
      <c r="C2" s="270" t="s">
        <v>348</v>
      </c>
      <c r="D2" s="270"/>
      <c r="E2" s="271" t="s">
        <v>349</v>
      </c>
      <c r="F2" s="271"/>
    </row>
    <row r="3" spans="2:24" ht="18" customHeight="1">
      <c r="B3" s="272" t="s">
        <v>350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3"/>
    </row>
    <row r="4" ht="8.25" customHeight="1">
      <c r="C4" s="179"/>
    </row>
    <row r="5" spans="2:24" ht="60.75" customHeight="1">
      <c r="B5" s="274" t="s">
        <v>3</v>
      </c>
      <c r="C5" s="275" t="s">
        <v>351</v>
      </c>
      <c r="D5" s="276" t="s">
        <v>352</v>
      </c>
      <c r="E5" s="275" t="s">
        <v>353</v>
      </c>
      <c r="F5" s="275" t="s">
        <v>354</v>
      </c>
      <c r="G5" s="275" t="s">
        <v>355</v>
      </c>
      <c r="H5" s="275" t="s">
        <v>356</v>
      </c>
      <c r="I5" s="275" t="s">
        <v>357</v>
      </c>
      <c r="J5" s="275" t="s">
        <v>358</v>
      </c>
      <c r="K5" s="275" t="s">
        <v>359</v>
      </c>
      <c r="L5" s="275" t="s">
        <v>360</v>
      </c>
      <c r="M5" s="275" t="s">
        <v>361</v>
      </c>
      <c r="N5" s="275" t="s">
        <v>362</v>
      </c>
      <c r="O5" s="275" t="s">
        <v>363</v>
      </c>
      <c r="P5" s="275" t="s">
        <v>364</v>
      </c>
      <c r="Q5" s="275" t="s">
        <v>365</v>
      </c>
      <c r="R5" s="275" t="s">
        <v>366</v>
      </c>
      <c r="S5" s="275" t="s">
        <v>367</v>
      </c>
      <c r="T5" s="275" t="s">
        <v>368</v>
      </c>
      <c r="U5" s="275" t="s">
        <v>369</v>
      </c>
      <c r="V5" s="275" t="s">
        <v>370</v>
      </c>
      <c r="W5" s="275" t="s">
        <v>371</v>
      </c>
      <c r="X5" s="275" t="s">
        <v>372</v>
      </c>
    </row>
    <row r="6" spans="2:24" ht="30.75" customHeight="1">
      <c r="B6" s="277" t="s">
        <v>373</v>
      </c>
      <c r="C6" s="278">
        <f>C7+C8</f>
        <v>72674133.27</v>
      </c>
      <c r="D6" s="278">
        <f>D7+D8</f>
        <v>87878493.61</v>
      </c>
      <c r="E6" s="278">
        <f>E7+E8</f>
        <v>68001763.27091</v>
      </c>
      <c r="F6" s="278">
        <f>F7+F8</f>
        <v>65357456.728308216</v>
      </c>
      <c r="G6" s="278">
        <f>G7+G8</f>
        <v>67379897.20288578</v>
      </c>
      <c r="H6" s="278">
        <f>H7+H8</f>
        <v>69464924.11165524</v>
      </c>
      <c r="I6" s="278">
        <f>I7+I8</f>
        <v>71614474.35746095</v>
      </c>
      <c r="J6" s="278">
        <f>J7+J8</f>
        <v>73830544.78883699</v>
      </c>
      <c r="K6" s="278">
        <f>K7+K8</f>
        <v>76115194.0553745</v>
      </c>
      <c r="L6" s="278">
        <f>L7+L8</f>
        <v>78470544.52051719</v>
      </c>
      <c r="M6" s="278">
        <f>M7+M8</f>
        <v>80898784.2335621</v>
      </c>
      <c r="N6" s="278">
        <f>N7+N8</f>
        <v>83402168.96269865</v>
      </c>
      <c r="O6" s="278">
        <f>O7+O8</f>
        <v>85983024.29097532</v>
      </c>
      <c r="P6" s="278">
        <f>P7+P8</f>
        <v>88643747.77714156</v>
      </c>
      <c r="Q6" s="278">
        <f>Q7+Q8</f>
        <v>91386811.18337333</v>
      </c>
      <c r="R6" s="278">
        <f>R7+R8</f>
        <v>94214762.77195251</v>
      </c>
      <c r="S6" s="278">
        <f>S7+S8</f>
        <v>97130229.67303447</v>
      </c>
      <c r="T6" s="278">
        <f>T7+T8</f>
        <v>100135920.32570451</v>
      </c>
      <c r="U6" s="278">
        <f>U7+U8</f>
        <v>103234626.9945915</v>
      </c>
      <c r="V6" s="278">
        <f>V7+V8</f>
        <v>106429228.3643777</v>
      </c>
      <c r="W6" s="278">
        <f>W7+W8</f>
        <v>109722692.21461588</v>
      </c>
      <c r="X6" s="278">
        <f>X7+X8</f>
        <v>113118078.17733972</v>
      </c>
    </row>
    <row r="7" spans="2:24" ht="20.25" customHeight="1">
      <c r="B7" s="279" t="s">
        <v>374</v>
      </c>
      <c r="C7" s="280">
        <f>zał2!E6</f>
        <v>61924678.14</v>
      </c>
      <c r="D7" s="280">
        <f>zał2!F6</f>
        <v>58061182.61</v>
      </c>
      <c r="E7" s="280">
        <f>zał2!G6</f>
        <v>59861079.27091</v>
      </c>
      <c r="F7" s="280">
        <f>zał2!H6</f>
        <v>61716772.728308216</v>
      </c>
      <c r="G7" s="280">
        <f>zał2!I6</f>
        <v>63629992.68288577</v>
      </c>
      <c r="H7" s="280">
        <f>zał2!J6</f>
        <v>65602522.45605523</v>
      </c>
      <c r="I7" s="280">
        <f>zał2!K6</f>
        <v>67636200.65219295</v>
      </c>
      <c r="J7" s="280">
        <f>zał2!L6</f>
        <v>69732922.87241094</v>
      </c>
      <c r="K7" s="280">
        <f>zał2!M6</f>
        <v>71894643.48145568</v>
      </c>
      <c r="L7" s="280">
        <f>zał2!N6</f>
        <v>74123377.4293808</v>
      </c>
      <c r="M7" s="280">
        <f>zał2!O6</f>
        <v>76421202.12969162</v>
      </c>
      <c r="N7" s="280">
        <f>zał2!P6</f>
        <v>78790259.39571206</v>
      </c>
      <c r="O7" s="280">
        <f>zał2!Q6</f>
        <v>81232757.43697913</v>
      </c>
      <c r="P7" s="280">
        <f>zał2!R6</f>
        <v>83750972.91752549</v>
      </c>
      <c r="Q7" s="280">
        <f>zał2!S6</f>
        <v>86347253.07796878</v>
      </c>
      <c r="R7" s="280">
        <f>zał2!T6</f>
        <v>89024017.92338581</v>
      </c>
      <c r="S7" s="280">
        <f>zał2!U6</f>
        <v>91783762.47901078</v>
      </c>
      <c r="T7" s="280">
        <f>zał2!V6</f>
        <v>94629059.1158601</v>
      </c>
      <c r="U7" s="280">
        <f>zał2!W6</f>
        <v>97562559.94845177</v>
      </c>
      <c r="V7" s="280">
        <f>zał2!X6</f>
        <v>100586999.30685377</v>
      </c>
      <c r="W7" s="280">
        <f>zał2!Y6</f>
        <v>103705196.28536624</v>
      </c>
      <c r="X7" s="280">
        <f>zał2!Z6</f>
        <v>106920057.37021258</v>
      </c>
    </row>
    <row r="8" spans="2:27" ht="22.5" customHeight="1">
      <c r="B8" s="279" t="s">
        <v>375</v>
      </c>
      <c r="C8" s="280">
        <f>zał2!E7</f>
        <v>10749455.13</v>
      </c>
      <c r="D8" s="280">
        <f>zał2!F7</f>
        <v>29817311</v>
      </c>
      <c r="E8" s="280">
        <f>zał2!G7</f>
        <v>8140684</v>
      </c>
      <c r="F8" s="280">
        <f>zał2!H7</f>
        <v>3640684</v>
      </c>
      <c r="G8" s="280">
        <f>zał2!I7</f>
        <v>3749904.52</v>
      </c>
      <c r="H8" s="280">
        <f>zał2!J7</f>
        <v>3862401.6556</v>
      </c>
      <c r="I8" s="280">
        <f>zał2!K7</f>
        <v>3978273.7052680003</v>
      </c>
      <c r="J8" s="280">
        <f>zał2!L7</f>
        <v>4097621.91642604</v>
      </c>
      <c r="K8" s="280">
        <f>zał2!M7</f>
        <v>4220550.573918821</v>
      </c>
      <c r="L8" s="280">
        <f>zał2!N7</f>
        <v>4347167.091136386</v>
      </c>
      <c r="M8" s="280">
        <f>zał2!O7</f>
        <v>4477582.1038704775</v>
      </c>
      <c r="N8" s="280">
        <f>zał2!P7</f>
        <v>4611909.566986592</v>
      </c>
      <c r="O8" s="280">
        <f>zał2!Q7</f>
        <v>4750266.853996189</v>
      </c>
      <c r="P8" s="280">
        <f>zał2!R7</f>
        <v>4892774.859616075</v>
      </c>
      <c r="Q8" s="280">
        <f>zał2!S7</f>
        <v>5039558.105404557</v>
      </c>
      <c r="R8" s="280">
        <f>zał2!T7</f>
        <v>5190744.848566693</v>
      </c>
      <c r="S8" s="280">
        <f>zał2!U7</f>
        <v>5346467.194023694</v>
      </c>
      <c r="T8" s="280">
        <f>zał2!V7</f>
        <v>5506861.209844405</v>
      </c>
      <c r="U8" s="280">
        <f>zał2!W7</f>
        <v>5672067.046139737</v>
      </c>
      <c r="V8" s="280">
        <f>zał2!X7</f>
        <v>5842229.057523929</v>
      </c>
      <c r="W8" s="280">
        <f>zał2!Y7</f>
        <v>6017495.929249646</v>
      </c>
      <c r="X8" s="280">
        <f>zał2!Z7</f>
        <v>6198020.807127136</v>
      </c>
      <c r="Y8" s="211"/>
      <c r="Z8" s="211"/>
      <c r="AA8" s="211"/>
    </row>
    <row r="9" spans="2:24" ht="26.25" customHeight="1">
      <c r="B9" s="279" t="s">
        <v>376</v>
      </c>
      <c r="C9" s="280">
        <f>zał2!E8</f>
        <v>1643757.32</v>
      </c>
      <c r="D9" s="280">
        <f>zał2!F8</f>
        <v>5910000</v>
      </c>
      <c r="E9" s="280">
        <f>zał2!G8</f>
        <v>6000000</v>
      </c>
      <c r="F9" s="280">
        <f>zał2!H8</f>
        <v>1500000</v>
      </c>
      <c r="G9" s="280">
        <f>zał2!I8</f>
        <v>1545000</v>
      </c>
      <c r="H9" s="280">
        <f>zał2!J8</f>
        <v>1591350</v>
      </c>
      <c r="I9" s="280">
        <f>zał2!K8</f>
        <v>1639090.5</v>
      </c>
      <c r="J9" s="280">
        <f>zał2!L8</f>
        <v>1688263.215</v>
      </c>
      <c r="K9" s="280">
        <f>zał2!M8</f>
        <v>1738911.1114500002</v>
      </c>
      <c r="L9" s="280">
        <f>zał2!N8</f>
        <v>1791078.4447935002</v>
      </c>
      <c r="M9" s="280">
        <f>zał2!O8</f>
        <v>1844810.7981373053</v>
      </c>
      <c r="N9" s="280">
        <f>zał2!P8</f>
        <v>1900155.1220814246</v>
      </c>
      <c r="O9" s="280">
        <f>zał2!Q8</f>
        <v>1957159.7757438673</v>
      </c>
      <c r="P9" s="280">
        <f>zał2!R8</f>
        <v>2015874.5690161833</v>
      </c>
      <c r="Q9" s="280">
        <f>zał2!S8</f>
        <v>2076350.8060866687</v>
      </c>
      <c r="R9" s="280">
        <f>zał2!T8</f>
        <v>2138641.3302692687</v>
      </c>
      <c r="S9" s="280">
        <f>zał2!U8</f>
        <v>2202800.570177347</v>
      </c>
      <c r="T9" s="280">
        <f>zał2!V8</f>
        <v>2268884.5872826674</v>
      </c>
      <c r="U9" s="280">
        <f>zał2!W8</f>
        <v>2336951.1249011476</v>
      </c>
      <c r="V9" s="280">
        <f>zał2!X8</f>
        <v>2407059.658648182</v>
      </c>
      <c r="W9" s="280">
        <f>zał2!Y8</f>
        <v>2479271.4484076276</v>
      </c>
      <c r="X9" s="280">
        <f>zał2!Z8</f>
        <v>2553649.5918598566</v>
      </c>
    </row>
    <row r="10" spans="2:24" ht="25.5" customHeight="1">
      <c r="B10" s="277" t="s">
        <v>377</v>
      </c>
      <c r="C10" s="278" t="e">
        <f>C11+C13</f>
        <v>#REF!</v>
      </c>
      <c r="D10" s="278">
        <f>D11+D13</f>
        <v>89682258.61</v>
      </c>
      <c r="E10" s="278">
        <f>E11+E13</f>
        <v>55946527</v>
      </c>
      <c r="F10" s="278">
        <f>F11+F13</f>
        <v>55064299</v>
      </c>
      <c r="G10" s="278">
        <f>G11+G13</f>
        <v>56641227.97</v>
      </c>
      <c r="H10" s="278">
        <f>H11+H13</f>
        <v>58340464.8091</v>
      </c>
      <c r="I10" s="278">
        <f>I11+I13</f>
        <v>60090678.753373004</v>
      </c>
      <c r="J10" s="278">
        <f>J11+J13</f>
        <v>61893399.115974195</v>
      </c>
      <c r="K10" s="278">
        <f>K11+K13</f>
        <v>63750201.08945342</v>
      </c>
      <c r="L10" s="278">
        <f>L11+L13</f>
        <v>65662707.122137025</v>
      </c>
      <c r="M10" s="278">
        <f>M11+M13</f>
        <v>67632588.33580114</v>
      </c>
      <c r="N10" s="278">
        <f>N11+N13</f>
        <v>69661565.98587517</v>
      </c>
      <c r="O10" s="278">
        <f>O11+O13</f>
        <v>71751412.96545142</v>
      </c>
      <c r="P10" s="278">
        <f>P11+P13</f>
        <v>73903955.35441495</v>
      </c>
      <c r="Q10" s="278">
        <f>Q11+Q13</f>
        <v>76121074.01504742</v>
      </c>
      <c r="R10" s="278">
        <f>R11+R13</f>
        <v>78404706.23549883</v>
      </c>
      <c r="S10" s="278">
        <f>S11+S13</f>
        <v>80756847.42256379</v>
      </c>
      <c r="T10" s="278">
        <f>T11+T13</f>
        <v>83179552.84524071</v>
      </c>
      <c r="U10" s="278">
        <f>U11+U13</f>
        <v>85674939.43059793</v>
      </c>
      <c r="V10" s="278">
        <f>V11+V13</f>
        <v>88245187.61351587</v>
      </c>
      <c r="W10" s="278">
        <f>W11+W13</f>
        <v>90892543.24192135</v>
      </c>
      <c r="X10" s="278">
        <f>X11+X13</f>
        <v>93619319.53917898</v>
      </c>
    </row>
    <row r="11" spans="2:24" ht="21" customHeight="1">
      <c r="B11" s="279" t="s">
        <v>378</v>
      </c>
      <c r="C11" s="281">
        <f>zał2!E10</f>
        <v>54856635.79</v>
      </c>
      <c r="D11" s="281">
        <f>zał2!F10</f>
        <v>60342254.61</v>
      </c>
      <c r="E11" s="281">
        <f>zał2!G10</f>
        <v>51033300</v>
      </c>
      <c r="F11" s="281">
        <f>zał2!H10</f>
        <v>52564299</v>
      </c>
      <c r="G11" s="281">
        <f>zał2!I10</f>
        <v>54141227.97</v>
      </c>
      <c r="H11" s="281">
        <f>zał2!J10</f>
        <v>55765464.8091</v>
      </c>
      <c r="I11" s="281">
        <f>zał2!K10</f>
        <v>57438428.753373004</v>
      </c>
      <c r="J11" s="281">
        <f>zał2!L10</f>
        <v>59161581.615974195</v>
      </c>
      <c r="K11" s="281">
        <f>zał2!M10</f>
        <v>60936429.06445342</v>
      </c>
      <c r="L11" s="281">
        <f>zał2!N10</f>
        <v>62764521.936387025</v>
      </c>
      <c r="M11" s="281">
        <f>zał2!O10</f>
        <v>64647457.59447864</v>
      </c>
      <c r="N11" s="281">
        <f>zał2!P10</f>
        <v>66586881.322312996</v>
      </c>
      <c r="O11" s="281">
        <f>zał2!Q10</f>
        <v>68584487.76198238</v>
      </c>
      <c r="P11" s="281">
        <f>zał2!R10</f>
        <v>70642022.39484185</v>
      </c>
      <c r="Q11" s="281">
        <f>zał2!S10</f>
        <v>72761283.0666871</v>
      </c>
      <c r="R11" s="281">
        <f>zał2!T10</f>
        <v>74944121.55868772</v>
      </c>
      <c r="S11" s="281">
        <f>zał2!U10</f>
        <v>77192445.20544834</v>
      </c>
      <c r="T11" s="281">
        <f>zał2!V10</f>
        <v>79508218.5616118</v>
      </c>
      <c r="U11" s="281">
        <f>zał2!W10</f>
        <v>81893465.11846015</v>
      </c>
      <c r="V11" s="281">
        <f>zał2!X10</f>
        <v>84350269.07201396</v>
      </c>
      <c r="W11" s="281">
        <f>zał2!Y10</f>
        <v>86880777.14417438</v>
      </c>
      <c r="X11" s="281">
        <f>zał2!Z10</f>
        <v>89487200.45849961</v>
      </c>
    </row>
    <row r="12" spans="2:24" ht="21" customHeight="1">
      <c r="B12" s="279" t="s">
        <v>379</v>
      </c>
      <c r="C12" s="282" t="e">
        <f>C78</f>
        <v>#REF!</v>
      </c>
      <c r="D12" s="282">
        <f>D78</f>
        <v>2400000</v>
      </c>
      <c r="E12" s="282">
        <f>E78</f>
        <v>2146338.07593</v>
      </c>
      <c r="F12" s="282">
        <f>F78</f>
        <v>1795048.5018600002</v>
      </c>
      <c r="G12" s="282">
        <f>G78</f>
        <v>1587870.7677900002</v>
      </c>
      <c r="H12" s="282">
        <f>H78</f>
        <v>1380693.0337200004</v>
      </c>
      <c r="I12" s="282">
        <f>I78</f>
        <v>1173515.2996500004</v>
      </c>
      <c r="J12" s="282">
        <f>J78</f>
        <v>966337.5655800004</v>
      </c>
      <c r="K12" s="282">
        <f>K78</f>
        <v>759159.2915100005</v>
      </c>
      <c r="L12" s="282">
        <f>L78</f>
        <v>612878.2040400004</v>
      </c>
      <c r="M12" s="282">
        <f>M78</f>
        <v>559445.8403700005</v>
      </c>
      <c r="N12" s="282">
        <f>N78</f>
        <v>506013.47670000046</v>
      </c>
      <c r="O12" s="282">
        <f>O78</f>
        <v>452581.1130300004</v>
      </c>
      <c r="P12" s="282">
        <f>P78</f>
        <v>399148.7493600004</v>
      </c>
      <c r="Q12" s="282">
        <f>Q78</f>
        <v>345716.3856900004</v>
      </c>
      <c r="R12" s="282">
        <f>R78</f>
        <v>292284.0220200004</v>
      </c>
      <c r="S12" s="282">
        <f>S78</f>
        <v>238851.65835000036</v>
      </c>
      <c r="T12" s="282">
        <f>T78</f>
        <v>185419.29468000037</v>
      </c>
      <c r="U12" s="282">
        <f>U78</f>
        <v>131986.93101000038</v>
      </c>
      <c r="V12" s="282">
        <f>V78</f>
        <v>78554.56734000039</v>
      </c>
      <c r="W12" s="282">
        <f>W78</f>
        <v>25121.48367000038</v>
      </c>
      <c r="X12" s="282">
        <f>X78</f>
        <v>0</v>
      </c>
    </row>
    <row r="13" spans="2:24" ht="22.5" customHeight="1">
      <c r="B13" s="279" t="s">
        <v>380</v>
      </c>
      <c r="C13" s="17" t="e">
        <f>zał1!#REF!</f>
        <v>#REF!</v>
      </c>
      <c r="D13" s="281">
        <f>zał2!F11</f>
        <v>29340004</v>
      </c>
      <c r="E13" s="281">
        <f>zał2!G11</f>
        <v>4913227</v>
      </c>
      <c r="F13" s="281">
        <f>zał2!H11</f>
        <v>2500000</v>
      </c>
      <c r="G13" s="281">
        <f>zał2!I11</f>
        <v>2500000</v>
      </c>
      <c r="H13" s="281">
        <f>zał2!J11</f>
        <v>2575000</v>
      </c>
      <c r="I13" s="281">
        <f>zał2!K11</f>
        <v>2652250</v>
      </c>
      <c r="J13" s="281">
        <f>zał2!L11</f>
        <v>2731817.5</v>
      </c>
      <c r="K13" s="281">
        <f>zał2!M11</f>
        <v>2813772.025</v>
      </c>
      <c r="L13" s="281">
        <f>zał2!N11</f>
        <v>2898185.1857499997</v>
      </c>
      <c r="M13" s="281">
        <f>zał2!O11</f>
        <v>2985130.7413224997</v>
      </c>
      <c r="N13" s="281">
        <f>zał2!P11</f>
        <v>3074684.663562175</v>
      </c>
      <c r="O13" s="281">
        <f>zał2!Q11</f>
        <v>3166925.2034690403</v>
      </c>
      <c r="P13" s="281">
        <f>zał2!R11</f>
        <v>3261932.9595731115</v>
      </c>
      <c r="Q13" s="281">
        <f>zał2!S11</f>
        <v>3359790.948360305</v>
      </c>
      <c r="R13" s="281">
        <f>zał2!T11</f>
        <v>3460584.676811114</v>
      </c>
      <c r="S13" s="281">
        <f>zał2!U11</f>
        <v>3564402.2171154474</v>
      </c>
      <c r="T13" s="281">
        <f>zał2!V11</f>
        <v>3671334.283628911</v>
      </c>
      <c r="U13" s="281">
        <f>zał2!W11</f>
        <v>3781474.312137778</v>
      </c>
      <c r="V13" s="281">
        <f>zał2!X11</f>
        <v>3894918.5415019114</v>
      </c>
      <c r="W13" s="281">
        <f>zał2!Y11</f>
        <v>4011766.0977469687</v>
      </c>
      <c r="X13" s="281">
        <f>zał2!Z11</f>
        <v>4132119.080679378</v>
      </c>
    </row>
    <row r="14" spans="2:24" ht="25.5" customHeight="1">
      <c r="B14" s="277" t="s">
        <v>381</v>
      </c>
      <c r="C14" s="278" t="e">
        <f>C6-C10</f>
        <v>#REF!</v>
      </c>
      <c r="D14" s="278">
        <f>D6-D10</f>
        <v>-1803765</v>
      </c>
      <c r="E14" s="278">
        <f>E6-E10</f>
        <v>12055236.270909995</v>
      </c>
      <c r="F14" s="278">
        <f>F6-F10</f>
        <v>10293157.728308216</v>
      </c>
      <c r="G14" s="278">
        <f>G6-G10</f>
        <v>10738669.232885778</v>
      </c>
      <c r="H14" s="278">
        <f>H6-H10</f>
        <v>11124459.302555233</v>
      </c>
      <c r="I14" s="278">
        <f>I6-I10</f>
        <v>11523795.604087941</v>
      </c>
      <c r="J14" s="278">
        <f>J6-J10</f>
        <v>11937145.67286279</v>
      </c>
      <c r="K14" s="278">
        <f>K6-K10</f>
        <v>12364992.965921082</v>
      </c>
      <c r="L14" s="278">
        <f>L6-L10</f>
        <v>12807837.39838016</v>
      </c>
      <c r="M14" s="278">
        <f>M6-M10</f>
        <v>13266195.897760957</v>
      </c>
      <c r="N14" s="278">
        <f>N6-N10</f>
        <v>13740602.976823479</v>
      </c>
      <c r="O14" s="278">
        <f>O6-O10</f>
        <v>14231611.325523898</v>
      </c>
      <c r="P14" s="278">
        <f>P6-P10</f>
        <v>14739792.422726601</v>
      </c>
      <c r="Q14" s="278">
        <f>Q6-Q10</f>
        <v>15265737.168325916</v>
      </c>
      <c r="R14" s="278">
        <f>R6-R10</f>
        <v>15810056.53645368</v>
      </c>
      <c r="S14" s="278">
        <f>S6-S10</f>
        <v>16373382.250470683</v>
      </c>
      <c r="T14" s="278">
        <f>T6-T10</f>
        <v>16956367.480463803</v>
      </c>
      <c r="U14" s="278">
        <f>U6-U10</f>
        <v>17559687.563993573</v>
      </c>
      <c r="V14" s="278">
        <f>V6-V10</f>
        <v>18184040.75086184</v>
      </c>
      <c r="W14" s="278">
        <f>W6-W10</f>
        <v>18830148.97269453</v>
      </c>
      <c r="X14" s="278">
        <f>X6-X10</f>
        <v>19498758.638160735</v>
      </c>
    </row>
    <row r="15" spans="2:24" ht="25.5" customHeight="1">
      <c r="B15" s="277" t="s">
        <v>382</v>
      </c>
      <c r="C15" s="278">
        <f>SUM(C16,C20,C26,C30,C33)</f>
        <v>9049134</v>
      </c>
      <c r="D15" s="278">
        <f>SUM(D16,D20,D26,D30,D33)</f>
        <v>10673140.89</v>
      </c>
      <c r="E15" s="278">
        <f>SUM(E16,E20,E26,E30,E33)</f>
        <v>9001163.51043</v>
      </c>
      <c r="F15" s="278">
        <f>SUM(F16,F20,F26,F30,F33)</f>
        <v>7649874.73636</v>
      </c>
      <c r="G15" s="278">
        <f>SUM(G16,G20,G26,G30,G33)</f>
        <v>5040833.00229</v>
      </c>
      <c r="H15" s="278">
        <f>SUM(H16,H20,H26,H30,H33)</f>
        <v>4833655.26822</v>
      </c>
      <c r="I15" s="278">
        <f>SUM(I16,I20,I26,I30,I33)</f>
        <v>4626477.534150001</v>
      </c>
      <c r="J15" s="278">
        <f>SUM(J16,J20,J26,J30,J33)</f>
        <v>4419299.80008</v>
      </c>
      <c r="K15" s="278">
        <f>SUM(K16,K20,K26,K30,K33)</f>
        <v>4212130.52601</v>
      </c>
      <c r="L15" s="278">
        <f>SUM(L16,L20,L26,L30,L33)</f>
        <v>3050896.3285400006</v>
      </c>
      <c r="M15" s="278">
        <f>SUM(M16,M20,M26,M30,M33)</f>
        <v>1449985.2348700005</v>
      </c>
      <c r="N15" s="278">
        <f>SUM(N16,N20,N26,N30,N33)</f>
        <v>1396552.8712000004</v>
      </c>
      <c r="O15" s="278">
        <f>SUM(O16,O20,O26,O30,O33)</f>
        <v>1343120.5075300005</v>
      </c>
      <c r="P15" s="278">
        <f>SUM(P16,P20,P26,P30,P33)</f>
        <v>1289688.1438600004</v>
      </c>
      <c r="Q15" s="278">
        <f>SUM(Q16,Q20,Q26,Q30,Q33)</f>
        <v>1236255.7801900003</v>
      </c>
      <c r="R15" s="278">
        <f>SUM(R16,R20,R26,R30,R33)</f>
        <v>1182823.4165200004</v>
      </c>
      <c r="S15" s="278">
        <f>SUM(S16,S20,S26,S30,S33)</f>
        <v>1129391.0528500006</v>
      </c>
      <c r="T15" s="278">
        <f>SUM(T16,T20,T26,T30,T33)</f>
        <v>1075958.6891800005</v>
      </c>
      <c r="U15" s="278">
        <f>SUM(U16,U20,U26,U30,U33)</f>
        <v>1022526.3255100005</v>
      </c>
      <c r="V15" s="278">
        <f>SUM(V16,V20,V26,V30,V33)</f>
        <v>969093.9618400005</v>
      </c>
      <c r="W15" s="278">
        <f>SUM(W16,W20,W26,W30,W33)</f>
        <v>915672.8781700004</v>
      </c>
      <c r="X15" s="278">
        <f>SUM(X16,X20,X26,X30,X33)</f>
        <v>418691.39450000005</v>
      </c>
    </row>
    <row r="16" spans="2:24" ht="24.75" customHeight="1">
      <c r="B16" s="277" t="s">
        <v>383</v>
      </c>
      <c r="C16" s="278">
        <f>C17+C19</f>
        <v>8267803.585</v>
      </c>
      <c r="D16" s="278">
        <f>D17+D19</f>
        <v>8943805.830500001</v>
      </c>
      <c r="E16" s="278">
        <f>E17+E19</f>
        <v>6826992.2785</v>
      </c>
      <c r="F16" s="278">
        <f>F17+F19</f>
        <v>6555186.3365</v>
      </c>
      <c r="G16" s="278">
        <f>G17+G19</f>
        <v>4001608.7945</v>
      </c>
      <c r="H16" s="278">
        <f>H17+H19</f>
        <v>3849895.2525</v>
      </c>
      <c r="I16" s="278">
        <f>I17+I19</f>
        <v>3698181.7105</v>
      </c>
      <c r="J16" s="278">
        <f>J17+J19</f>
        <v>3546468.1685</v>
      </c>
      <c r="K16" s="278">
        <f>K17+K19</f>
        <v>3394763.1765</v>
      </c>
      <c r="L16" s="278">
        <f>L17+L19</f>
        <v>2019326.73</v>
      </c>
      <c r="M16" s="278">
        <f>M17+M19</f>
        <v>471848</v>
      </c>
      <c r="N16" s="278">
        <f>N17+N19</f>
        <v>471848</v>
      </c>
      <c r="O16" s="278">
        <f>O17+O19</f>
        <v>471848</v>
      </c>
      <c r="P16" s="278">
        <f>P17+P19</f>
        <v>471848</v>
      </c>
      <c r="Q16" s="278">
        <f>Q17+Q19</f>
        <v>471848</v>
      </c>
      <c r="R16" s="278">
        <f>R17+R19</f>
        <v>471848</v>
      </c>
      <c r="S16" s="278">
        <f>S17+S19</f>
        <v>471848</v>
      </c>
      <c r="T16" s="278">
        <f>T17+T19</f>
        <v>471848</v>
      </c>
      <c r="U16" s="278">
        <f>U17+U19</f>
        <v>471848</v>
      </c>
      <c r="V16" s="278">
        <f>V17+V19</f>
        <v>471848</v>
      </c>
      <c r="W16" s="278">
        <f>W17+W19</f>
        <v>471860</v>
      </c>
      <c r="X16" s="278">
        <f>X17+X19</f>
        <v>0</v>
      </c>
    </row>
    <row r="17" spans="2:24" ht="23.25" customHeight="1">
      <c r="B17" s="279" t="s">
        <v>384</v>
      </c>
      <c r="C17" s="280">
        <f>C59</f>
        <v>6701134</v>
      </c>
      <c r="D17" s="280">
        <f>D59</f>
        <v>7281140.890000001</v>
      </c>
      <c r="E17" s="280">
        <f>E59</f>
        <v>5436134.04</v>
      </c>
      <c r="F17" s="280">
        <f>F59</f>
        <v>5436134.84</v>
      </c>
      <c r="G17" s="280">
        <f>G59</f>
        <v>3034270.84</v>
      </c>
      <c r="H17" s="280">
        <f>H59</f>
        <v>3034270.84</v>
      </c>
      <c r="I17" s="280">
        <f>I59</f>
        <v>3034270.84</v>
      </c>
      <c r="J17" s="280">
        <f>J59</f>
        <v>3034270.84</v>
      </c>
      <c r="K17" s="280">
        <f>K59</f>
        <v>3034279.84</v>
      </c>
      <c r="L17" s="280">
        <f>L59</f>
        <v>2019326.73</v>
      </c>
      <c r="M17" s="280">
        <f>M59</f>
        <v>471848</v>
      </c>
      <c r="N17" s="280">
        <f>N59</f>
        <v>471848</v>
      </c>
      <c r="O17" s="280">
        <f>O59</f>
        <v>471848</v>
      </c>
      <c r="P17" s="280">
        <f>P59</f>
        <v>471848</v>
      </c>
      <c r="Q17" s="280">
        <f>Q59</f>
        <v>471848</v>
      </c>
      <c r="R17" s="280">
        <f>R59</f>
        <v>471848</v>
      </c>
      <c r="S17" s="280">
        <f>S59</f>
        <v>471848</v>
      </c>
      <c r="T17" s="280">
        <f>T59</f>
        <v>471848</v>
      </c>
      <c r="U17" s="280">
        <f>U59</f>
        <v>471848</v>
      </c>
      <c r="V17" s="280">
        <f>V59</f>
        <v>471848</v>
      </c>
      <c r="W17" s="280">
        <f>W59</f>
        <v>471860</v>
      </c>
      <c r="X17" s="280">
        <f>X59</f>
        <v>0</v>
      </c>
    </row>
    <row r="18" spans="2:24" ht="26.25" customHeight="1">
      <c r="B18" s="279" t="s">
        <v>385</v>
      </c>
      <c r="C18" s="280">
        <f>C60</f>
        <v>1974529.9</v>
      </c>
      <c r="D18" s="280">
        <f>D60</f>
        <v>1245956.9</v>
      </c>
      <c r="E18" s="280">
        <f>E60</f>
        <v>1083800.9</v>
      </c>
      <c r="F18" s="280">
        <f>F60</f>
        <v>1083800.9</v>
      </c>
      <c r="G18" s="280">
        <f>G60</f>
        <v>860083.9</v>
      </c>
      <c r="H18" s="280">
        <f>H60</f>
        <v>860083.9</v>
      </c>
      <c r="I18" s="280">
        <f>I60</f>
        <v>860083.9</v>
      </c>
      <c r="J18" s="280">
        <f>J60</f>
        <v>860083.9</v>
      </c>
      <c r="K18" s="280">
        <f>K60</f>
        <v>860086.9</v>
      </c>
      <c r="L18" s="280">
        <f>L60</f>
        <v>388668.9</v>
      </c>
      <c r="M18" s="280">
        <f>M60</f>
        <v>75188</v>
      </c>
      <c r="N18" s="280">
        <f>N60</f>
        <v>75188</v>
      </c>
      <c r="O18" s="280">
        <f>O60</f>
        <v>75188</v>
      </c>
      <c r="P18" s="280">
        <f>P60</f>
        <v>75188</v>
      </c>
      <c r="Q18" s="280">
        <f>Q60</f>
        <v>75188</v>
      </c>
      <c r="R18" s="280">
        <f>R60</f>
        <v>75188</v>
      </c>
      <c r="S18" s="280">
        <f>S60</f>
        <v>75188</v>
      </c>
      <c r="T18" s="280">
        <f>T60</f>
        <v>75188</v>
      </c>
      <c r="U18" s="280">
        <f>U60</f>
        <v>75188</v>
      </c>
      <c r="V18" s="280">
        <f>V60</f>
        <v>75188</v>
      </c>
      <c r="W18" s="280">
        <f>W60</f>
        <v>75234</v>
      </c>
      <c r="X18" s="280">
        <f>X60</f>
        <v>0</v>
      </c>
    </row>
    <row r="19" spans="2:24" ht="24" customHeight="1">
      <c r="B19" s="279" t="s">
        <v>386</v>
      </c>
      <c r="C19" s="280">
        <f>C61</f>
        <v>1566669.5850000002</v>
      </c>
      <c r="D19" s="280">
        <f>D61</f>
        <v>1662664.9405000003</v>
      </c>
      <c r="E19" s="280">
        <f>E61</f>
        <v>1390858.2385000002</v>
      </c>
      <c r="F19" s="280">
        <f>F61</f>
        <v>1119051.4965000001</v>
      </c>
      <c r="G19" s="280">
        <f>G61</f>
        <v>967337.9545000002</v>
      </c>
      <c r="H19" s="280">
        <f>H61</f>
        <v>815624.4125000002</v>
      </c>
      <c r="I19" s="280">
        <f>I61</f>
        <v>663910.8705000002</v>
      </c>
      <c r="J19" s="280">
        <f>J61</f>
        <v>512197.32850000024</v>
      </c>
      <c r="K19" s="280">
        <f>K61</f>
        <v>360483.3365000002</v>
      </c>
      <c r="L19" s="280">
        <f>L61</f>
        <v>0</v>
      </c>
      <c r="M19" s="283">
        <v>0</v>
      </c>
      <c r="N19" s="283">
        <v>0</v>
      </c>
      <c r="O19" s="283">
        <v>0</v>
      </c>
      <c r="P19" s="283">
        <v>0</v>
      </c>
      <c r="Q19" s="283">
        <v>0</v>
      </c>
      <c r="R19" s="283">
        <v>0</v>
      </c>
      <c r="S19" s="283">
        <v>0</v>
      </c>
      <c r="T19" s="283">
        <v>0</v>
      </c>
      <c r="U19" s="283">
        <v>0</v>
      </c>
      <c r="V19" s="283">
        <v>0</v>
      </c>
      <c r="W19" s="283">
        <v>0</v>
      </c>
      <c r="X19" s="283">
        <v>0</v>
      </c>
    </row>
    <row r="20" spans="2:24" ht="24.75" customHeight="1">
      <c r="B20" s="277" t="s">
        <v>387</v>
      </c>
      <c r="C20" s="278">
        <f>C21+C23+C25</f>
        <v>433330.4149999998</v>
      </c>
      <c r="D20" s="278">
        <f>D21+D23+D25</f>
        <v>537335.0594999997</v>
      </c>
      <c r="E20" s="278">
        <f>E21+E23+E25</f>
        <v>1174171.2319299998</v>
      </c>
      <c r="F20" s="278">
        <f>F21+F23+F25</f>
        <v>1094688.3998600002</v>
      </c>
      <c r="G20" s="278">
        <f>G21+G23+G25</f>
        <v>1039224.20779</v>
      </c>
      <c r="H20" s="278">
        <f>H21+H23+H25</f>
        <v>983760.0157200003</v>
      </c>
      <c r="I20" s="278">
        <f>I21+I23+I25</f>
        <v>928295.8236500003</v>
      </c>
      <c r="J20" s="278">
        <f>J21+J23+J25</f>
        <v>872831.6315800003</v>
      </c>
      <c r="K20" s="278">
        <f>K21+K23+K25</f>
        <v>817367.3495100003</v>
      </c>
      <c r="L20" s="278">
        <f>L21+L23+L25</f>
        <v>1031569.5985400005</v>
      </c>
      <c r="M20" s="278">
        <f>M21+M23+M25</f>
        <v>978137.2348700005</v>
      </c>
      <c r="N20" s="278">
        <f>N21+N23+N25</f>
        <v>924704.8712000005</v>
      </c>
      <c r="O20" s="278">
        <f>O21+O23+O25</f>
        <v>871272.5075300005</v>
      </c>
      <c r="P20" s="278">
        <f>P21+P23+P25</f>
        <v>817840.1438600004</v>
      </c>
      <c r="Q20" s="278">
        <f>Q21+Q23+Q25</f>
        <v>764407.7801900004</v>
      </c>
      <c r="R20" s="278">
        <f>R21+R23+R25</f>
        <v>710975.4165200004</v>
      </c>
      <c r="S20" s="278">
        <f>S21+S23+S25</f>
        <v>657543.0528500004</v>
      </c>
      <c r="T20" s="278">
        <f>T21+T23+T25</f>
        <v>604110.6891800005</v>
      </c>
      <c r="U20" s="278">
        <f>U21+U23+U25</f>
        <v>550678.3255100005</v>
      </c>
      <c r="V20" s="278">
        <f>V21+V23+V25</f>
        <v>497245.96184000047</v>
      </c>
      <c r="W20" s="278">
        <f>W21+W23+W25</f>
        <v>443812.87817000045</v>
      </c>
      <c r="X20" s="278">
        <f>X21+X23+X25</f>
        <v>418691.39450000005</v>
      </c>
    </row>
    <row r="21" spans="2:24" ht="22.5" customHeight="1">
      <c r="B21" s="279" t="s">
        <v>388</v>
      </c>
      <c r="C21" s="284">
        <v>0</v>
      </c>
      <c r="D21" s="284">
        <f>D63</f>
        <v>0</v>
      </c>
      <c r="E21" s="285">
        <f>E63</f>
        <v>418691.39450000005</v>
      </c>
      <c r="F21" s="285">
        <f>F63</f>
        <v>418691.39450000005</v>
      </c>
      <c r="G21" s="285">
        <f>G63</f>
        <v>418691.39450000005</v>
      </c>
      <c r="H21" s="285">
        <f>H63</f>
        <v>418691.39450000005</v>
      </c>
      <c r="I21" s="285">
        <f>I63</f>
        <v>418691.39450000005</v>
      </c>
      <c r="J21" s="285">
        <f>J63</f>
        <v>418691.39450000005</v>
      </c>
      <c r="K21" s="285">
        <f>K63</f>
        <v>418691.39450000005</v>
      </c>
      <c r="L21" s="285">
        <f>L63</f>
        <v>418691.39450000005</v>
      </c>
      <c r="M21" s="285">
        <f>M63</f>
        <v>418691.39450000005</v>
      </c>
      <c r="N21" s="285">
        <f>N63</f>
        <v>418691.39450000005</v>
      </c>
      <c r="O21" s="285">
        <f>O63</f>
        <v>418691.39450000005</v>
      </c>
      <c r="P21" s="285">
        <f>P63</f>
        <v>418691.39450000005</v>
      </c>
      <c r="Q21" s="285">
        <f>Q63</f>
        <v>418691.39450000005</v>
      </c>
      <c r="R21" s="285">
        <f>R63</f>
        <v>418691.39450000005</v>
      </c>
      <c r="S21" s="285">
        <f>S63</f>
        <v>418691.39450000005</v>
      </c>
      <c r="T21" s="285">
        <f>T63</f>
        <v>418691.39450000005</v>
      </c>
      <c r="U21" s="285">
        <f>U63</f>
        <v>418691.39450000005</v>
      </c>
      <c r="V21" s="285">
        <f>V63</f>
        <v>418691.39450000005</v>
      </c>
      <c r="W21" s="285">
        <f>W63</f>
        <v>418691.39450000005</v>
      </c>
      <c r="X21" s="285">
        <f>X63</f>
        <v>418691.39450000005</v>
      </c>
    </row>
    <row r="22" spans="2:24" ht="33.75" customHeight="1">
      <c r="B22" s="279" t="s">
        <v>389</v>
      </c>
      <c r="C22" s="284">
        <v>0</v>
      </c>
      <c r="D22" s="284">
        <f>D64</f>
        <v>0</v>
      </c>
      <c r="E22" s="284">
        <f>E64</f>
        <v>131634.35</v>
      </c>
      <c r="F22" s="284">
        <f>F64</f>
        <v>131634.35</v>
      </c>
      <c r="G22" s="284">
        <f>G64</f>
        <v>131634.35</v>
      </c>
      <c r="H22" s="284">
        <f>H64</f>
        <v>131634.35</v>
      </c>
      <c r="I22" s="284">
        <f>I64</f>
        <v>131634.35</v>
      </c>
      <c r="J22" s="284">
        <f>J64</f>
        <v>131634.35</v>
      </c>
      <c r="K22" s="284">
        <f>K64</f>
        <v>131634.35</v>
      </c>
      <c r="L22" s="284">
        <f>L64</f>
        <v>131634.35</v>
      </c>
      <c r="M22" s="284">
        <f>M64</f>
        <v>131634.35</v>
      </c>
      <c r="N22" s="284">
        <f>N64</f>
        <v>131634.35</v>
      </c>
      <c r="O22" s="284">
        <f>O64</f>
        <v>131634.35</v>
      </c>
      <c r="P22" s="284">
        <f>P64</f>
        <v>131634.35</v>
      </c>
      <c r="Q22" s="284">
        <f>Q64</f>
        <v>131634.35</v>
      </c>
      <c r="R22" s="284">
        <f>R64</f>
        <v>131634.35</v>
      </c>
      <c r="S22" s="284">
        <f>S64</f>
        <v>131634.35</v>
      </c>
      <c r="T22" s="284">
        <f>T64</f>
        <v>131634.35</v>
      </c>
      <c r="U22" s="284">
        <f>U64</f>
        <v>131634.35</v>
      </c>
      <c r="V22" s="284">
        <f>V64</f>
        <v>131634.35</v>
      </c>
      <c r="W22" s="284">
        <f>W64</f>
        <v>131634.35</v>
      </c>
      <c r="X22" s="284">
        <f>X64</f>
        <v>131634.35</v>
      </c>
    </row>
    <row r="23" spans="2:24" ht="21" customHeight="1">
      <c r="B23" s="279" t="s">
        <v>390</v>
      </c>
      <c r="C23" s="283">
        <v>0</v>
      </c>
      <c r="D23" s="283">
        <v>0</v>
      </c>
      <c r="E23" s="283">
        <v>0</v>
      </c>
      <c r="F23" s="283">
        <v>0</v>
      </c>
      <c r="G23" s="283">
        <v>0</v>
      </c>
      <c r="H23" s="283">
        <v>0</v>
      </c>
      <c r="I23" s="283">
        <v>0</v>
      </c>
      <c r="J23" s="283">
        <v>0</v>
      </c>
      <c r="K23" s="283">
        <v>0</v>
      </c>
      <c r="L23" s="283">
        <v>0</v>
      </c>
      <c r="M23" s="283">
        <v>0</v>
      </c>
      <c r="N23" s="283">
        <v>0</v>
      </c>
      <c r="O23" s="283">
        <v>0</v>
      </c>
      <c r="P23" s="283">
        <v>0</v>
      </c>
      <c r="Q23" s="283">
        <v>0</v>
      </c>
      <c r="R23" s="283">
        <v>0</v>
      </c>
      <c r="S23" s="283">
        <v>0</v>
      </c>
      <c r="T23" s="283">
        <v>0</v>
      </c>
      <c r="U23" s="283">
        <v>0</v>
      </c>
      <c r="V23" s="283">
        <v>0</v>
      </c>
      <c r="W23" s="283">
        <v>0</v>
      </c>
      <c r="X23" s="283">
        <v>0</v>
      </c>
    </row>
    <row r="24" spans="2:24" ht="39.75" customHeight="1">
      <c r="B24" s="279" t="s">
        <v>391</v>
      </c>
      <c r="C24" s="283">
        <v>0</v>
      </c>
      <c r="D24" s="283">
        <v>0</v>
      </c>
      <c r="E24" s="283">
        <v>0</v>
      </c>
      <c r="F24" s="283">
        <v>0</v>
      </c>
      <c r="G24" s="283">
        <v>0</v>
      </c>
      <c r="H24" s="283">
        <v>0</v>
      </c>
      <c r="I24" s="283">
        <v>0</v>
      </c>
      <c r="J24" s="283">
        <v>0</v>
      </c>
      <c r="K24" s="283">
        <v>0</v>
      </c>
      <c r="L24" s="283">
        <v>0</v>
      </c>
      <c r="M24" s="283">
        <v>0</v>
      </c>
      <c r="N24" s="283">
        <v>0</v>
      </c>
      <c r="O24" s="283">
        <v>0</v>
      </c>
      <c r="P24" s="283">
        <v>0</v>
      </c>
      <c r="Q24" s="283">
        <v>0</v>
      </c>
      <c r="R24" s="283">
        <v>0</v>
      </c>
      <c r="S24" s="283">
        <v>0</v>
      </c>
      <c r="T24" s="283">
        <v>0</v>
      </c>
      <c r="U24" s="283">
        <v>0</v>
      </c>
      <c r="V24" s="283">
        <v>0</v>
      </c>
      <c r="W24" s="283">
        <v>0</v>
      </c>
      <c r="X24" s="283">
        <v>0</v>
      </c>
    </row>
    <row r="25" spans="2:24" ht="20.25" customHeight="1">
      <c r="B25" s="279" t="s">
        <v>392</v>
      </c>
      <c r="C25" s="284">
        <f>C65</f>
        <v>433330.4149999998</v>
      </c>
      <c r="D25" s="284">
        <f>D65</f>
        <v>537335.0594999997</v>
      </c>
      <c r="E25" s="284">
        <f>E65</f>
        <v>755479.8374299996</v>
      </c>
      <c r="F25" s="284">
        <f>F65</f>
        <v>675997.0053600001</v>
      </c>
      <c r="G25" s="284">
        <f>G65</f>
        <v>620532.81329</v>
      </c>
      <c r="H25" s="284">
        <f>H65</f>
        <v>565068.6212200002</v>
      </c>
      <c r="I25" s="284">
        <f>I65</f>
        <v>509604.4291500002</v>
      </c>
      <c r="J25" s="284">
        <f>J65</f>
        <v>454140.23708000017</v>
      </c>
      <c r="K25" s="284">
        <f>K65</f>
        <v>398675.95501000027</v>
      </c>
      <c r="L25" s="284">
        <f>L65</f>
        <v>612878.2040400004</v>
      </c>
      <c r="M25" s="284">
        <f>M65</f>
        <v>559445.8403700005</v>
      </c>
      <c r="N25" s="284">
        <f>N65</f>
        <v>506013.47670000046</v>
      </c>
      <c r="O25" s="284">
        <f>O65</f>
        <v>452581.1130300004</v>
      </c>
      <c r="P25" s="284">
        <f>P65</f>
        <v>399148.7493600004</v>
      </c>
      <c r="Q25" s="284">
        <f>Q65</f>
        <v>345716.3856900004</v>
      </c>
      <c r="R25" s="284">
        <f>R65</f>
        <v>292284.0220200004</v>
      </c>
      <c r="S25" s="284">
        <f>S65</f>
        <v>238851.65835000036</v>
      </c>
      <c r="T25" s="284">
        <f>T65</f>
        <v>185419.29468000037</v>
      </c>
      <c r="U25" s="284">
        <f>U65</f>
        <v>131986.93101000038</v>
      </c>
      <c r="V25" s="284">
        <f>V65</f>
        <v>78554.56734000039</v>
      </c>
      <c r="W25" s="284">
        <f>W65</f>
        <v>25121.48367000038</v>
      </c>
      <c r="X25" s="284">
        <f>X65</f>
        <v>0</v>
      </c>
    </row>
    <row r="26" spans="2:24" ht="28.5" customHeight="1">
      <c r="B26" s="277" t="s">
        <v>393</v>
      </c>
      <c r="C26" s="278">
        <f>C27+C28+C29</f>
        <v>0</v>
      </c>
      <c r="D26" s="278">
        <f>D27+D28+D29</f>
        <v>0</v>
      </c>
      <c r="E26" s="278">
        <f>E27+E28+E29</f>
        <v>0</v>
      </c>
      <c r="F26" s="278">
        <f>F27+F29</f>
        <v>0</v>
      </c>
      <c r="G26" s="278">
        <f>G27+G29</f>
        <v>0</v>
      </c>
      <c r="H26" s="278">
        <f>H27+H29</f>
        <v>0</v>
      </c>
      <c r="I26" s="278">
        <f>I27+I29</f>
        <v>0</v>
      </c>
      <c r="J26" s="278">
        <f>J27+J29</f>
        <v>0</v>
      </c>
      <c r="K26" s="278">
        <f>K27+K29</f>
        <v>0</v>
      </c>
      <c r="L26" s="278">
        <f>L27+L29</f>
        <v>0</v>
      </c>
      <c r="M26" s="278">
        <f>M27+M29</f>
        <v>0</v>
      </c>
      <c r="N26" s="278">
        <f>N27+N29</f>
        <v>0</v>
      </c>
      <c r="O26" s="278">
        <f>O27+O29</f>
        <v>0</v>
      </c>
      <c r="P26" s="278">
        <f>P27+P29</f>
        <v>0</v>
      </c>
      <c r="Q26" s="278">
        <f>Q27+Q29</f>
        <v>0</v>
      </c>
      <c r="R26" s="278">
        <f>R27+R29</f>
        <v>0</v>
      </c>
      <c r="S26" s="278">
        <f>S27+S29</f>
        <v>0</v>
      </c>
      <c r="T26" s="278">
        <f>T27+T29</f>
        <v>0</v>
      </c>
      <c r="U26" s="278">
        <f>U27+U29</f>
        <v>0</v>
      </c>
      <c r="V26" s="278">
        <f>V27+V29</f>
        <v>0</v>
      </c>
      <c r="W26" s="278">
        <f>W27+W29</f>
        <v>0</v>
      </c>
      <c r="X26" s="278">
        <f>X27+X29</f>
        <v>0</v>
      </c>
    </row>
    <row r="27" spans="2:24" ht="20.25" customHeight="1">
      <c r="B27" s="279" t="s">
        <v>394</v>
      </c>
      <c r="C27" s="284">
        <v>0</v>
      </c>
      <c r="D27" s="284">
        <v>0</v>
      </c>
      <c r="E27" s="284">
        <f>E68</f>
        <v>0</v>
      </c>
      <c r="F27" s="284">
        <f>F68</f>
        <v>0</v>
      </c>
      <c r="G27" s="284">
        <f>G68</f>
        <v>0</v>
      </c>
      <c r="H27" s="284">
        <f>H68</f>
        <v>0</v>
      </c>
      <c r="I27" s="284">
        <f>I68</f>
        <v>0</v>
      </c>
      <c r="J27" s="284">
        <f>J68</f>
        <v>0</v>
      </c>
      <c r="K27" s="284">
        <f>K68</f>
        <v>0</v>
      </c>
      <c r="L27" s="284">
        <f>L68</f>
        <v>0</v>
      </c>
      <c r="M27" s="284">
        <f>M68</f>
        <v>0</v>
      </c>
      <c r="N27" s="284">
        <f>N68</f>
        <v>0</v>
      </c>
      <c r="O27" s="284">
        <f>O68</f>
        <v>0</v>
      </c>
      <c r="P27" s="284">
        <f>P68</f>
        <v>0</v>
      </c>
      <c r="Q27" s="284">
        <f>Q68</f>
        <v>0</v>
      </c>
      <c r="R27" s="284">
        <f>R68</f>
        <v>0</v>
      </c>
      <c r="S27" s="284">
        <f>S68</f>
        <v>0</v>
      </c>
      <c r="T27" s="284">
        <f>T68</f>
        <v>0</v>
      </c>
      <c r="U27" s="284">
        <f>U68</f>
        <v>0</v>
      </c>
      <c r="V27" s="284">
        <f>V68</f>
        <v>0</v>
      </c>
      <c r="W27" s="284">
        <f>W68</f>
        <v>0</v>
      </c>
      <c r="X27" s="284">
        <f>X68</f>
        <v>0</v>
      </c>
    </row>
    <row r="28" spans="2:24" ht="30.75" customHeight="1">
      <c r="B28" s="279" t="s">
        <v>395</v>
      </c>
      <c r="C28" s="284">
        <v>0</v>
      </c>
      <c r="D28" s="284">
        <v>0</v>
      </c>
      <c r="E28" s="284">
        <f>E69</f>
        <v>0</v>
      </c>
      <c r="F28" s="284">
        <f>F69</f>
        <v>0</v>
      </c>
      <c r="G28" s="284">
        <f>G69</f>
        <v>0</v>
      </c>
      <c r="H28" s="284">
        <f>H69</f>
        <v>0</v>
      </c>
      <c r="I28" s="284">
        <f>I69</f>
        <v>0</v>
      </c>
      <c r="J28" s="284">
        <f>J69</f>
        <v>0</v>
      </c>
      <c r="K28" s="284">
        <f>K69</f>
        <v>0</v>
      </c>
      <c r="L28" s="284">
        <f>L69</f>
        <v>0</v>
      </c>
      <c r="M28" s="284">
        <f>M69</f>
        <v>0</v>
      </c>
      <c r="N28" s="284">
        <f>N69</f>
        <v>0</v>
      </c>
      <c r="O28" s="284">
        <f>O69</f>
        <v>0</v>
      </c>
      <c r="P28" s="284">
        <f>P69</f>
        <v>0</v>
      </c>
      <c r="Q28" s="284">
        <f>Q69</f>
        <v>0</v>
      </c>
      <c r="R28" s="284">
        <f>R69</f>
        <v>0</v>
      </c>
      <c r="S28" s="284">
        <f>S69</f>
        <v>0</v>
      </c>
      <c r="T28" s="284">
        <f>T69</f>
        <v>0</v>
      </c>
      <c r="U28" s="284">
        <f>U69</f>
        <v>0</v>
      </c>
      <c r="V28" s="284">
        <f>V69</f>
        <v>0</v>
      </c>
      <c r="W28" s="284">
        <f>W69</f>
        <v>0</v>
      </c>
      <c r="X28" s="284">
        <f>X69</f>
        <v>0</v>
      </c>
    </row>
    <row r="29" spans="2:24" ht="20.25" customHeight="1">
      <c r="B29" s="279" t="s">
        <v>396</v>
      </c>
      <c r="C29" s="284">
        <v>0</v>
      </c>
      <c r="D29" s="284">
        <f>D70</f>
        <v>0</v>
      </c>
      <c r="E29" s="284">
        <f>E70</f>
        <v>0</v>
      </c>
      <c r="F29" s="284">
        <f>F70</f>
        <v>0</v>
      </c>
      <c r="G29" s="284">
        <f>G70</f>
        <v>0</v>
      </c>
      <c r="H29" s="284">
        <f>H70</f>
        <v>0</v>
      </c>
      <c r="I29" s="284">
        <f>I70</f>
        <v>0</v>
      </c>
      <c r="J29" s="284">
        <f>J70</f>
        <v>0</v>
      </c>
      <c r="K29" s="284">
        <f>K70</f>
        <v>0</v>
      </c>
      <c r="L29" s="284">
        <f>L70</f>
        <v>0</v>
      </c>
      <c r="M29" s="284">
        <f>M70</f>
        <v>0</v>
      </c>
      <c r="N29" s="284">
        <f>N70</f>
        <v>0</v>
      </c>
      <c r="O29" s="284">
        <f>O70</f>
        <v>0</v>
      </c>
      <c r="P29" s="284">
        <f>P70</f>
        <v>0</v>
      </c>
      <c r="Q29" s="284">
        <f>Q70</f>
        <v>0</v>
      </c>
      <c r="R29" s="284">
        <f>R70</f>
        <v>0</v>
      </c>
      <c r="S29" s="284">
        <f>S70</f>
        <v>0</v>
      </c>
      <c r="T29" s="284">
        <f>T70</f>
        <v>0</v>
      </c>
      <c r="U29" s="284">
        <f>U70</f>
        <v>0</v>
      </c>
      <c r="V29" s="284">
        <f>V70</f>
        <v>0</v>
      </c>
      <c r="W29" s="284">
        <f>W70</f>
        <v>0</v>
      </c>
      <c r="X29" s="284">
        <f>X70</f>
        <v>0</v>
      </c>
    </row>
    <row r="30" spans="2:24" ht="24" customHeight="1">
      <c r="B30" s="277" t="s">
        <v>397</v>
      </c>
      <c r="C30" s="278">
        <f>C31+C32</f>
        <v>0</v>
      </c>
      <c r="D30" s="278">
        <f>D31+D32</f>
        <v>0</v>
      </c>
      <c r="E30" s="278">
        <f>E31+E32</f>
        <v>0</v>
      </c>
      <c r="F30" s="278">
        <f>F31+F32</f>
        <v>0</v>
      </c>
      <c r="G30" s="278">
        <f>G31+G32</f>
        <v>0</v>
      </c>
      <c r="H30" s="278">
        <f>H31+H32</f>
        <v>0</v>
      </c>
      <c r="I30" s="278">
        <f>I31+I32</f>
        <v>0</v>
      </c>
      <c r="J30" s="278">
        <f>J31+J32</f>
        <v>0</v>
      </c>
      <c r="K30" s="278">
        <f>K31+K32</f>
        <v>0</v>
      </c>
      <c r="L30" s="278">
        <f>L31+L32</f>
        <v>0</v>
      </c>
      <c r="M30" s="278">
        <f>M31+M32</f>
        <v>0</v>
      </c>
      <c r="N30" s="278">
        <f>N31+N32</f>
        <v>0</v>
      </c>
      <c r="O30" s="278">
        <f>O31+O32</f>
        <v>0</v>
      </c>
      <c r="P30" s="278">
        <f>P31+P32</f>
        <v>0</v>
      </c>
      <c r="Q30" s="278">
        <f>Q31+Q32</f>
        <v>0</v>
      </c>
      <c r="R30" s="278">
        <f>R31+R32</f>
        <v>0</v>
      </c>
      <c r="S30" s="278">
        <f>S31+S32</f>
        <v>0</v>
      </c>
      <c r="T30" s="278">
        <f>T31+T32</f>
        <v>0</v>
      </c>
      <c r="U30" s="278">
        <f>U31+U32</f>
        <v>0</v>
      </c>
      <c r="V30" s="278">
        <f>V31+V32</f>
        <v>0</v>
      </c>
      <c r="W30" s="278">
        <f>W31+W32</f>
        <v>0</v>
      </c>
      <c r="X30" s="278">
        <f>X31+X32</f>
        <v>0</v>
      </c>
    </row>
    <row r="31" spans="2:24" ht="39.75" customHeight="1">
      <c r="B31" s="279" t="s">
        <v>398</v>
      </c>
      <c r="C31" s="283">
        <v>0</v>
      </c>
      <c r="D31" s="283">
        <v>0</v>
      </c>
      <c r="E31" s="283">
        <v>0</v>
      </c>
      <c r="F31" s="283">
        <v>0</v>
      </c>
      <c r="G31" s="283">
        <v>0</v>
      </c>
      <c r="H31" s="283">
        <v>0</v>
      </c>
      <c r="I31" s="283">
        <v>0</v>
      </c>
      <c r="J31" s="283">
        <v>0</v>
      </c>
      <c r="K31" s="283">
        <v>0</v>
      </c>
      <c r="L31" s="283">
        <v>0</v>
      </c>
      <c r="M31" s="283">
        <v>0</v>
      </c>
      <c r="N31" s="283">
        <v>0</v>
      </c>
      <c r="O31" s="283">
        <v>0</v>
      </c>
      <c r="P31" s="283">
        <v>0</v>
      </c>
      <c r="Q31" s="283">
        <v>0</v>
      </c>
      <c r="R31" s="283">
        <v>0</v>
      </c>
      <c r="S31" s="283">
        <v>0</v>
      </c>
      <c r="T31" s="283">
        <v>0</v>
      </c>
      <c r="U31" s="283">
        <v>0</v>
      </c>
      <c r="V31" s="283">
        <v>0</v>
      </c>
      <c r="W31" s="283">
        <v>0</v>
      </c>
      <c r="X31" s="283">
        <v>0</v>
      </c>
    </row>
    <row r="32" spans="2:24" ht="24" customHeight="1">
      <c r="B32" s="279" t="s">
        <v>399</v>
      </c>
      <c r="C32" s="283">
        <v>0</v>
      </c>
      <c r="D32" s="283">
        <v>0</v>
      </c>
      <c r="E32" s="283">
        <v>0</v>
      </c>
      <c r="F32" s="283">
        <v>0</v>
      </c>
      <c r="G32" s="283">
        <v>0</v>
      </c>
      <c r="H32" s="283">
        <v>0</v>
      </c>
      <c r="I32" s="283">
        <v>0</v>
      </c>
      <c r="J32" s="283">
        <v>0</v>
      </c>
      <c r="K32" s="283">
        <v>0</v>
      </c>
      <c r="L32" s="283">
        <v>0</v>
      </c>
      <c r="M32" s="283">
        <v>0</v>
      </c>
      <c r="N32" s="283">
        <v>0</v>
      </c>
      <c r="O32" s="283">
        <v>0</v>
      </c>
      <c r="P32" s="283">
        <v>0</v>
      </c>
      <c r="Q32" s="283">
        <v>0</v>
      </c>
      <c r="R32" s="283">
        <v>0</v>
      </c>
      <c r="S32" s="283">
        <v>0</v>
      </c>
      <c r="T32" s="283">
        <v>0</v>
      </c>
      <c r="U32" s="283">
        <v>0</v>
      </c>
      <c r="V32" s="283">
        <v>0</v>
      </c>
      <c r="W32" s="283">
        <v>0</v>
      </c>
      <c r="X32" s="283">
        <v>0</v>
      </c>
    </row>
    <row r="33" spans="2:24" ht="27" customHeight="1">
      <c r="B33" s="277" t="s">
        <v>400</v>
      </c>
      <c r="C33" s="251">
        <f>zał2!E33</f>
        <v>348000</v>
      </c>
      <c r="D33" s="251">
        <f>zał2!F33</f>
        <v>1192000</v>
      </c>
      <c r="E33" s="251">
        <f>zał2!G33</f>
        <v>1000000</v>
      </c>
      <c r="F33" s="251">
        <f>zał2!H33</f>
        <v>0</v>
      </c>
      <c r="G33" s="251">
        <f>zał2!I33</f>
        <v>0</v>
      </c>
      <c r="H33" s="251">
        <f>zał2!J33</f>
        <v>0</v>
      </c>
      <c r="I33" s="251">
        <f>zał2!K33</f>
        <v>0</v>
      </c>
      <c r="J33" s="251">
        <f>zał2!L33</f>
        <v>0</v>
      </c>
      <c r="K33" s="251">
        <f>zał2!M33</f>
        <v>0</v>
      </c>
      <c r="L33" s="251">
        <f>zał2!N33</f>
        <v>0</v>
      </c>
      <c r="M33" s="251">
        <f>zał2!O33</f>
        <v>0</v>
      </c>
      <c r="N33" s="251">
        <f>zał2!P33</f>
        <v>0</v>
      </c>
      <c r="O33" s="251">
        <f>zał2!Q33</f>
        <v>0</v>
      </c>
      <c r="P33" s="251">
        <f>zał2!R33</f>
        <v>0</v>
      </c>
      <c r="Q33" s="251">
        <f>zał2!S33</f>
        <v>0</v>
      </c>
      <c r="R33" s="251">
        <f>zał2!T33</f>
        <v>0</v>
      </c>
      <c r="S33" s="251">
        <f>zał2!U33</f>
        <v>0</v>
      </c>
      <c r="T33" s="251">
        <f>zał2!V33</f>
        <v>0</v>
      </c>
      <c r="U33" s="251">
        <f>zał2!W33</f>
        <v>0</v>
      </c>
      <c r="V33" s="251">
        <f>zał2!X33</f>
        <v>0</v>
      </c>
      <c r="W33" s="251">
        <f>zał2!Y33</f>
        <v>0</v>
      </c>
      <c r="X33" s="251">
        <f>zał2!Z33</f>
        <v>0</v>
      </c>
    </row>
    <row r="34" spans="2:24" ht="29.25" customHeight="1">
      <c r="B34" s="277" t="s">
        <v>401</v>
      </c>
      <c r="C34" s="286">
        <f>C73</f>
        <v>40534439.7</v>
      </c>
      <c r="D34" s="286">
        <f>D73</f>
        <v>41627126.7</v>
      </c>
      <c r="E34" s="286">
        <f>E73</f>
        <v>35772301.2655</v>
      </c>
      <c r="F34" s="286">
        <f>F73</f>
        <v>29917475.031000003</v>
      </c>
      <c r="G34" s="286">
        <f>G73</f>
        <v>26464512.796500005</v>
      </c>
      <c r="H34" s="286">
        <f>H73</f>
        <v>23011550.562000003</v>
      </c>
      <c r="I34" s="286">
        <f>I73</f>
        <v>19558588.3275</v>
      </c>
      <c r="J34" s="286">
        <f>J73</f>
        <v>16105626.093000002</v>
      </c>
      <c r="K34" s="286">
        <f>K73</f>
        <v>12652654.858500002</v>
      </c>
      <c r="L34" s="286">
        <f>L73</f>
        <v>10214636.734000001</v>
      </c>
      <c r="M34" s="286">
        <f>M73</f>
        <v>9324097.3395</v>
      </c>
      <c r="N34" s="286">
        <f>N73</f>
        <v>8433557.945</v>
      </c>
      <c r="O34" s="286">
        <f>O73</f>
        <v>7543018.550500001</v>
      </c>
      <c r="P34" s="286">
        <f>P73</f>
        <v>6652479.156000001</v>
      </c>
      <c r="Q34" s="286">
        <f>Q73</f>
        <v>5761939.761500001</v>
      </c>
      <c r="R34" s="286">
        <f>R73</f>
        <v>4871400.367000001</v>
      </c>
      <c r="S34" s="286">
        <f>S73</f>
        <v>3980860.972500001</v>
      </c>
      <c r="T34" s="286">
        <f>T73</f>
        <v>3090321.578000001</v>
      </c>
      <c r="U34" s="286">
        <f>U73</f>
        <v>2199782.183500001</v>
      </c>
      <c r="V34" s="286">
        <f>V73</f>
        <v>1309242.7890000013</v>
      </c>
      <c r="W34" s="286">
        <f>W73</f>
        <v>418691.3945000011</v>
      </c>
      <c r="X34" s="286">
        <f>X73</f>
        <v>0</v>
      </c>
    </row>
    <row r="35" spans="2:24" ht="24.75" customHeight="1">
      <c r="B35" s="279" t="s">
        <v>402</v>
      </c>
      <c r="C35" s="17">
        <f>zał2!E46</f>
        <v>40534439.7</v>
      </c>
      <c r="D35" s="287">
        <f>D73</f>
        <v>41627126.7</v>
      </c>
      <c r="E35" s="287">
        <f>E73</f>
        <v>35772301.2655</v>
      </c>
      <c r="F35" s="287">
        <f>F73</f>
        <v>29917475.031000003</v>
      </c>
      <c r="G35" s="287">
        <f>G73</f>
        <v>26464512.796500005</v>
      </c>
      <c r="H35" s="287">
        <f>H73</f>
        <v>23011550.562000003</v>
      </c>
      <c r="I35" s="287">
        <f>I73</f>
        <v>19558588.3275</v>
      </c>
      <c r="J35" s="287">
        <f>J73</f>
        <v>16105626.093000002</v>
      </c>
      <c r="K35" s="287">
        <f>K73</f>
        <v>12652654.858500002</v>
      </c>
      <c r="L35" s="287">
        <f>L73</f>
        <v>10214636.734000001</v>
      </c>
      <c r="M35" s="287">
        <f>M73</f>
        <v>9324097.3395</v>
      </c>
      <c r="N35" s="287">
        <f>N73</f>
        <v>8433557.945</v>
      </c>
      <c r="O35" s="287">
        <f>O73</f>
        <v>7543018.550500001</v>
      </c>
      <c r="P35" s="287">
        <f>P73</f>
        <v>6652479.156000001</v>
      </c>
      <c r="Q35" s="287">
        <f>Q73</f>
        <v>5761939.761500001</v>
      </c>
      <c r="R35" s="287">
        <f>R73</f>
        <v>4871400.367000001</v>
      </c>
      <c r="S35" s="287">
        <f>S73</f>
        <v>3980860.972500001</v>
      </c>
      <c r="T35" s="287">
        <f>T73</f>
        <v>3090321.578000001</v>
      </c>
      <c r="U35" s="287">
        <f>U73</f>
        <v>2199782.183500001</v>
      </c>
      <c r="V35" s="287">
        <f>V73</f>
        <v>1309242.7890000013</v>
      </c>
      <c r="W35" s="287">
        <f>W73</f>
        <v>418691.3945000011</v>
      </c>
      <c r="X35" s="287">
        <f>X73</f>
        <v>0</v>
      </c>
    </row>
    <row r="36" spans="2:24" ht="25.5" customHeight="1">
      <c r="B36" s="279" t="s">
        <v>403</v>
      </c>
      <c r="C36" s="17">
        <f>zał2!E47</f>
        <v>8929764.1</v>
      </c>
      <c r="D36" s="287">
        <f>D74</f>
        <v>10316494.2</v>
      </c>
      <c r="E36" s="287">
        <f>E74</f>
        <v>9101058.95</v>
      </c>
      <c r="F36" s="287">
        <f>F74</f>
        <v>7885623.699999999</v>
      </c>
      <c r="G36" s="287">
        <f>G74</f>
        <v>6893905.449999999</v>
      </c>
      <c r="H36" s="287">
        <f>H74</f>
        <v>5902187.199999999</v>
      </c>
      <c r="I36" s="287">
        <f>I74</f>
        <v>4910468.949999999</v>
      </c>
      <c r="J36" s="287">
        <f>J74</f>
        <v>3918750.6999999993</v>
      </c>
      <c r="K36" s="287">
        <f>K74</f>
        <v>2927029.4499999993</v>
      </c>
      <c r="L36" s="287">
        <f>L74</f>
        <v>2406726.1999999993</v>
      </c>
      <c r="M36" s="287">
        <f>M74</f>
        <v>2199903.849999999</v>
      </c>
      <c r="N36" s="287">
        <f>N74</f>
        <v>1993081.499999999</v>
      </c>
      <c r="O36" s="287">
        <f>O74</f>
        <v>1786259.149999999</v>
      </c>
      <c r="P36" s="287">
        <f>P74</f>
        <v>1579436.7999999989</v>
      </c>
      <c r="Q36" s="287">
        <f>Q74</f>
        <v>1372614.4499999988</v>
      </c>
      <c r="R36" s="287">
        <f>R74</f>
        <v>1165792.0999999987</v>
      </c>
      <c r="S36" s="287">
        <f>S74</f>
        <v>958969.7499999987</v>
      </c>
      <c r="T36" s="287">
        <f>T74</f>
        <v>752147.3999999987</v>
      </c>
      <c r="U36" s="287">
        <f>U74</f>
        <v>545325.0499999988</v>
      </c>
      <c r="V36" s="287">
        <f>V74</f>
        <v>338502.6999999988</v>
      </c>
      <c r="W36" s="287">
        <f>W74</f>
        <v>131634.34999999878</v>
      </c>
      <c r="X36" s="287">
        <f>X74</f>
        <v>-1.2223608791828156E-09</v>
      </c>
    </row>
    <row r="37" spans="2:24" ht="23.25" customHeight="1">
      <c r="B37" s="279" t="s">
        <v>404</v>
      </c>
      <c r="C37" s="283">
        <v>0</v>
      </c>
      <c r="D37" s="283">
        <v>0</v>
      </c>
      <c r="E37" s="283">
        <v>0</v>
      </c>
      <c r="F37" s="283">
        <v>0</v>
      </c>
      <c r="G37" s="283">
        <v>0</v>
      </c>
      <c r="H37" s="283">
        <v>0</v>
      </c>
      <c r="I37" s="283">
        <v>0</v>
      </c>
      <c r="J37" s="283">
        <v>0</v>
      </c>
      <c r="K37" s="283">
        <v>0</v>
      </c>
      <c r="L37" s="283">
        <v>0</v>
      </c>
      <c r="M37" s="283">
        <v>0</v>
      </c>
      <c r="N37" s="283">
        <v>0</v>
      </c>
      <c r="O37" s="283">
        <v>0</v>
      </c>
      <c r="P37" s="283">
        <v>0</v>
      </c>
      <c r="Q37" s="283">
        <v>0</v>
      </c>
      <c r="R37" s="283">
        <v>0</v>
      </c>
      <c r="S37" s="283">
        <v>0</v>
      </c>
      <c r="T37" s="283">
        <v>0</v>
      </c>
      <c r="U37" s="283">
        <v>0</v>
      </c>
      <c r="V37" s="283">
        <v>0</v>
      </c>
      <c r="W37" s="283">
        <v>0</v>
      </c>
      <c r="X37" s="283">
        <v>0</v>
      </c>
    </row>
    <row r="38" spans="2:24" ht="26.25" customHeight="1">
      <c r="B38" s="279" t="s">
        <v>405</v>
      </c>
      <c r="C38" s="283">
        <v>0</v>
      </c>
      <c r="D38" s="283">
        <v>0</v>
      </c>
      <c r="E38" s="283">
        <v>0</v>
      </c>
      <c r="F38" s="283">
        <v>0</v>
      </c>
      <c r="G38" s="283">
        <v>0</v>
      </c>
      <c r="H38" s="283">
        <v>0</v>
      </c>
      <c r="I38" s="283">
        <v>0</v>
      </c>
      <c r="J38" s="283">
        <v>0</v>
      </c>
      <c r="K38" s="283">
        <v>0</v>
      </c>
      <c r="L38" s="283">
        <v>0</v>
      </c>
      <c r="M38" s="283">
        <v>0</v>
      </c>
      <c r="N38" s="283">
        <v>0</v>
      </c>
      <c r="O38" s="283">
        <v>0</v>
      </c>
      <c r="P38" s="283">
        <v>0</v>
      </c>
      <c r="Q38" s="283">
        <v>0</v>
      </c>
      <c r="R38" s="283">
        <v>0</v>
      </c>
      <c r="S38" s="283">
        <v>0</v>
      </c>
      <c r="T38" s="283">
        <v>0</v>
      </c>
      <c r="U38" s="283">
        <v>0</v>
      </c>
      <c r="V38" s="283">
        <v>0</v>
      </c>
      <c r="W38" s="283">
        <v>0</v>
      </c>
      <c r="X38" s="283">
        <v>0</v>
      </c>
    </row>
    <row r="39" spans="2:24" ht="18.75" customHeight="1">
      <c r="B39" s="279" t="s">
        <v>406</v>
      </c>
      <c r="C39" s="283">
        <v>0</v>
      </c>
      <c r="D39" s="283">
        <v>0</v>
      </c>
      <c r="E39" s="283">
        <v>0</v>
      </c>
      <c r="F39" s="283">
        <v>0</v>
      </c>
      <c r="G39" s="283">
        <v>0</v>
      </c>
      <c r="H39" s="283">
        <v>0</v>
      </c>
      <c r="I39" s="283">
        <v>0</v>
      </c>
      <c r="J39" s="283">
        <v>0</v>
      </c>
      <c r="K39" s="283">
        <v>0</v>
      </c>
      <c r="L39" s="283">
        <v>0</v>
      </c>
      <c r="M39" s="283">
        <v>0</v>
      </c>
      <c r="N39" s="283">
        <v>0</v>
      </c>
      <c r="O39" s="283">
        <v>0</v>
      </c>
      <c r="P39" s="283">
        <v>0</v>
      </c>
      <c r="Q39" s="283">
        <v>0</v>
      </c>
      <c r="R39" s="283">
        <v>0</v>
      </c>
      <c r="S39" s="283">
        <v>0</v>
      </c>
      <c r="T39" s="283">
        <v>0</v>
      </c>
      <c r="U39" s="283">
        <v>0</v>
      </c>
      <c r="V39" s="283">
        <v>0</v>
      </c>
      <c r="W39" s="283">
        <v>0</v>
      </c>
      <c r="X39" s="283">
        <v>0</v>
      </c>
    </row>
    <row r="40" spans="2:24" ht="27" customHeight="1">
      <c r="B40" s="279" t="s">
        <v>407</v>
      </c>
      <c r="C40" s="283">
        <v>0</v>
      </c>
      <c r="D40" s="283">
        <v>0</v>
      </c>
      <c r="E40" s="283">
        <v>0</v>
      </c>
      <c r="F40" s="283">
        <v>0</v>
      </c>
      <c r="G40" s="283">
        <v>0</v>
      </c>
      <c r="H40" s="283">
        <v>0</v>
      </c>
      <c r="I40" s="283">
        <v>0</v>
      </c>
      <c r="J40" s="283">
        <v>0</v>
      </c>
      <c r="K40" s="283">
        <v>0</v>
      </c>
      <c r="L40" s="283">
        <v>0</v>
      </c>
      <c r="M40" s="283">
        <v>0</v>
      </c>
      <c r="N40" s="283">
        <v>0</v>
      </c>
      <c r="O40" s="283">
        <v>0</v>
      </c>
      <c r="P40" s="283">
        <v>0</v>
      </c>
      <c r="Q40" s="283">
        <v>0</v>
      </c>
      <c r="R40" s="283">
        <v>0</v>
      </c>
      <c r="S40" s="283">
        <v>0</v>
      </c>
      <c r="T40" s="283">
        <v>0</v>
      </c>
      <c r="U40" s="283">
        <v>0</v>
      </c>
      <c r="V40" s="283">
        <v>0</v>
      </c>
      <c r="W40" s="283">
        <v>0</v>
      </c>
      <c r="X40" s="283">
        <v>0</v>
      </c>
    </row>
    <row r="41" spans="2:24" ht="42" customHeight="1">
      <c r="B41" s="277" t="s">
        <v>408</v>
      </c>
      <c r="C41" s="288" t="s">
        <v>14</v>
      </c>
      <c r="D41" s="288" t="s">
        <v>14</v>
      </c>
      <c r="E41" s="288" t="s">
        <v>14</v>
      </c>
      <c r="F41" s="289">
        <v>0</v>
      </c>
      <c r="G41" s="289">
        <v>0</v>
      </c>
      <c r="H41" s="289">
        <v>0</v>
      </c>
      <c r="I41" s="289">
        <v>0</v>
      </c>
      <c r="J41" s="289">
        <v>0</v>
      </c>
      <c r="K41" s="289">
        <v>0</v>
      </c>
      <c r="L41" s="289">
        <v>0</v>
      </c>
      <c r="M41" s="289">
        <v>0</v>
      </c>
      <c r="N41" s="289">
        <v>0</v>
      </c>
      <c r="O41" s="289">
        <v>0</v>
      </c>
      <c r="P41" s="289">
        <v>0</v>
      </c>
      <c r="Q41" s="289">
        <v>0</v>
      </c>
      <c r="R41" s="289">
        <v>0</v>
      </c>
      <c r="S41" s="289">
        <v>0</v>
      </c>
      <c r="T41" s="289">
        <v>0</v>
      </c>
      <c r="U41" s="289">
        <v>0</v>
      </c>
      <c r="V41" s="289">
        <v>0</v>
      </c>
      <c r="W41" s="289">
        <v>0</v>
      </c>
      <c r="X41" s="289">
        <v>0</v>
      </c>
    </row>
    <row r="42" spans="2:24" ht="27" customHeight="1">
      <c r="B42" s="277" t="s">
        <v>409</v>
      </c>
      <c r="C42" s="288">
        <f>SUM(C34/$C6)</f>
        <v>0.5577560801365992</v>
      </c>
      <c r="D42" s="288">
        <f>SUM(D34/$D6)</f>
        <v>0.47368957966825126</v>
      </c>
      <c r="E42" s="288">
        <f>SUM(E34/$E6)</f>
        <v>0.526049613198821</v>
      </c>
      <c r="F42" s="288" t="s">
        <v>14</v>
      </c>
      <c r="G42" s="288" t="s">
        <v>14</v>
      </c>
      <c r="H42" s="288" t="s">
        <v>14</v>
      </c>
      <c r="I42" s="288" t="s">
        <v>14</v>
      </c>
      <c r="J42" s="288" t="s">
        <v>14</v>
      </c>
      <c r="K42" s="288" t="s">
        <v>14</v>
      </c>
      <c r="L42" s="288" t="s">
        <v>14</v>
      </c>
      <c r="M42" s="288" t="s">
        <v>14</v>
      </c>
      <c r="N42" s="288" t="s">
        <v>14</v>
      </c>
      <c r="O42" s="288" t="s">
        <v>14</v>
      </c>
      <c r="P42" s="288" t="s">
        <v>14</v>
      </c>
      <c r="Q42" s="288" t="s">
        <v>14</v>
      </c>
      <c r="R42" s="288" t="s">
        <v>14</v>
      </c>
      <c r="S42" s="288" t="s">
        <v>14</v>
      </c>
      <c r="T42" s="288" t="s">
        <v>14</v>
      </c>
      <c r="U42" s="288" t="s">
        <v>14</v>
      </c>
      <c r="V42" s="288" t="s">
        <v>14</v>
      </c>
      <c r="W42" s="288" t="s">
        <v>14</v>
      </c>
      <c r="X42" s="288" t="s">
        <v>14</v>
      </c>
    </row>
    <row r="43" spans="2:24" ht="28.5" customHeight="1">
      <c r="B43" s="277" t="s">
        <v>410</v>
      </c>
      <c r="C43" s="288">
        <f>SUM((C34-C36)/C$6)</f>
        <v>0.4348820436919674</v>
      </c>
      <c r="D43" s="288">
        <f>SUM((D34-D36)/D$6)</f>
        <v>0.3562945973898335</v>
      </c>
      <c r="E43" s="288">
        <f>SUM((E34-E36)/E$6)</f>
        <v>0.39221398141170716</v>
      </c>
      <c r="F43" s="288" t="s">
        <v>14</v>
      </c>
      <c r="G43" s="288" t="s">
        <v>14</v>
      </c>
      <c r="H43" s="288" t="s">
        <v>14</v>
      </c>
      <c r="I43" s="288" t="s">
        <v>14</v>
      </c>
      <c r="J43" s="288" t="s">
        <v>14</v>
      </c>
      <c r="K43" s="288" t="s">
        <v>14</v>
      </c>
      <c r="L43" s="288" t="s">
        <v>14</v>
      </c>
      <c r="M43" s="288" t="s">
        <v>14</v>
      </c>
      <c r="N43" s="288" t="s">
        <v>14</v>
      </c>
      <c r="O43" s="288" t="s">
        <v>14</v>
      </c>
      <c r="P43" s="288" t="s">
        <v>14</v>
      </c>
      <c r="Q43" s="288" t="s">
        <v>14</v>
      </c>
      <c r="R43" s="288" t="s">
        <v>14</v>
      </c>
      <c r="S43" s="288" t="s">
        <v>14</v>
      </c>
      <c r="T43" s="288" t="s">
        <v>14</v>
      </c>
      <c r="U43" s="288" t="s">
        <v>14</v>
      </c>
      <c r="V43" s="288" t="s">
        <v>14</v>
      </c>
      <c r="W43" s="288" t="s">
        <v>14</v>
      </c>
      <c r="X43" s="288" t="s">
        <v>14</v>
      </c>
    </row>
    <row r="44" spans="2:24" ht="41.25" customHeight="1">
      <c r="B44" s="277" t="s">
        <v>411</v>
      </c>
      <c r="C44" s="288">
        <f>SUM(C15/C6)</f>
        <v>0.12451657271756549</v>
      </c>
      <c r="D44" s="288">
        <f>SUM(D15/D6)</f>
        <v>0.12145338923726688</v>
      </c>
      <c r="E44" s="288">
        <f>SUM(E15/E6)</f>
        <v>0.13236661929736382</v>
      </c>
      <c r="F44" s="288" t="s">
        <v>14</v>
      </c>
      <c r="G44" s="288" t="s">
        <v>14</v>
      </c>
      <c r="H44" s="288" t="s">
        <v>14</v>
      </c>
      <c r="I44" s="288" t="s">
        <v>14</v>
      </c>
      <c r="J44" s="288" t="s">
        <v>14</v>
      </c>
      <c r="K44" s="288" t="s">
        <v>14</v>
      </c>
      <c r="L44" s="288" t="s">
        <v>14</v>
      </c>
      <c r="M44" s="288" t="s">
        <v>14</v>
      </c>
      <c r="N44" s="288" t="s">
        <v>14</v>
      </c>
      <c r="O44" s="288" t="s">
        <v>14</v>
      </c>
      <c r="P44" s="288" t="s">
        <v>14</v>
      </c>
      <c r="Q44" s="288" t="s">
        <v>14</v>
      </c>
      <c r="R44" s="288" t="s">
        <v>14</v>
      </c>
      <c r="S44" s="288" t="s">
        <v>14</v>
      </c>
      <c r="T44" s="288" t="s">
        <v>14</v>
      </c>
      <c r="U44" s="288" t="s">
        <v>14</v>
      </c>
      <c r="V44" s="288" t="s">
        <v>14</v>
      </c>
      <c r="W44" s="288" t="s">
        <v>14</v>
      </c>
      <c r="X44" s="288" t="s">
        <v>14</v>
      </c>
    </row>
    <row r="45" spans="2:24" ht="51" customHeight="1">
      <c r="B45" s="277" t="s">
        <v>412</v>
      </c>
      <c r="C45" s="288">
        <v>0.08276115841166476</v>
      </c>
      <c r="D45" s="288">
        <v>0.1051869566527987</v>
      </c>
      <c r="E45" s="288">
        <f>SUM((E15-E18-E22)/E6)</f>
        <v>0.11449303497341227</v>
      </c>
      <c r="F45" s="288">
        <f>SUM((F15-F18-F22-F28)/F6)</f>
        <v>0.09844996743230153</v>
      </c>
      <c r="G45" s="288">
        <f>SUM((G15-G18-G22)/G6)</f>
        <v>0.06009381017750474</v>
      </c>
      <c r="H45" s="288">
        <f>SUM((H15-H18-H22)/H6)</f>
        <v>0.055307582457653284</v>
      </c>
      <c r="I45" s="288">
        <f>SUM((I15-I18-I22)/I6)</f>
        <v>0.05075453414636875</v>
      </c>
      <c r="J45" s="288">
        <f>SUM((J15-J18-J22)/J6)</f>
        <v>0.04642497979505961</v>
      </c>
      <c r="K45" s="288">
        <f>SUM((K15-K18-K22)/K6)</f>
        <v>0.04230967700965359</v>
      </c>
      <c r="L45" s="288">
        <f>SUM((L15-L18-L22)/L6)</f>
        <v>0.03224895524814847</v>
      </c>
      <c r="M45" s="288">
        <f>SUM((M15-M18-M22)/M6)</f>
        <v>0.015366892057127544</v>
      </c>
      <c r="N45" s="288">
        <f>SUM((N15-N18-N22)/N6)</f>
        <v>0.01426498298541976</v>
      </c>
      <c r="O45" s="288">
        <f>SUM((O15-O18-O22)/O6)</f>
        <v>0.013215377883018532</v>
      </c>
      <c r="P45" s="288">
        <f>SUM((P15-P18-P22)/P6)</f>
        <v>0.012215929730119528</v>
      </c>
      <c r="Q45" s="288">
        <f>SUM((Q15-Q18-Q22)/Q6)</f>
        <v>0.011264573266752662</v>
      </c>
      <c r="R45" s="288">
        <f>SUM((R15-R18-R22)/R6)</f>
        <v>0.010359322019229808</v>
      </c>
      <c r="S45" s="288">
        <f>SUM((S15-S18-S22)/S6)</f>
        <v>0.009498265431427537</v>
      </c>
      <c r="T45" s="288">
        <f>SUM((T15-T18-T22)/T6)</f>
        <v>0.008679566097290828</v>
      </c>
      <c r="U45" s="288">
        <f>SUM((U15-U18-U22)/U6)</f>
        <v>0.00790145709106631</v>
      </c>
      <c r="V45" s="288">
        <f>SUM((V15-V18-V22)/V6)</f>
        <v>0.00716223939189186</v>
      </c>
      <c r="W45" s="288">
        <f>SUM((W15-W18-W22)/W6)</f>
        <v>0.006459962965396344</v>
      </c>
      <c r="X45" s="288">
        <f>SUM((X15-X18-X22)/X6)</f>
        <v>0.0025376761091182023</v>
      </c>
    </row>
    <row r="46" spans="2:24" ht="40.5" customHeight="1">
      <c r="B46" s="277" t="s">
        <v>413</v>
      </c>
      <c r="C46" s="290">
        <v>0.0845167385672977</v>
      </c>
      <c r="D46" s="290">
        <v>0.07029718109259919</v>
      </c>
      <c r="E46" s="290">
        <v>0.060063334936659774</v>
      </c>
      <c r="F46" s="290">
        <f>IF(C6=0,0,(((E7+E9-E11)/E6)+((D7+D9-D11)/D6)+((C7+C9-C11)/C6))/3)</f>
        <v>0.12640653123400933</v>
      </c>
      <c r="G46" s="290">
        <f>IF(D6=0,0,(((F7+F9-F11)/F6)+((E7+E9-E11)/E6)+((D7+D9-D11)/D6))/3)</f>
        <v>0.14077754864120282</v>
      </c>
      <c r="H46" s="290">
        <f>IF(E6=0,0,(((G7+G9-G11)/G6)+((F7+F9-F11)/F6)+((E7+E9-E11)/E6))/3)</f>
        <v>0.1815974530765252</v>
      </c>
      <c r="I46" s="290">
        <f>IF(F6=0,0,(((H7+H9-H11)/H6)+((G7+G9-G11)/G6)+((F7+F9-F11)/F6))/3)</f>
        <v>0.1637543292231365</v>
      </c>
      <c r="J46" s="290">
        <f>IF(G6=0,0,(((I7+I9-I11)/I6)+((H7+H9-H11)/H6)+((G7+G9-G11)/G6))/3)</f>
        <v>0.16452033169148553</v>
      </c>
      <c r="K46" s="290">
        <f>IF(H6=0,0,(((J7+J9-J11)/J6)+((I7+I9-I11)/I6)+((H7+H9-H11)/H6))/3)</f>
        <v>0.16528567377545444</v>
      </c>
      <c r="L46" s="290">
        <f>IF(I6=0,0,(((K7+K9-K11)/K6)+((J7+J9-J11)/J6)+((I7+I9-I11)/I6))/3)</f>
        <v>0.1660503559687806</v>
      </c>
      <c r="M46" s="290">
        <f>IF(J6=0,0,(((L7+L9-L11)/L6)+((K7+K9-K11)/K6)+((J7+J9-J11)/J6))/3)</f>
        <v>0.16681437876497107</v>
      </c>
      <c r="N46" s="290">
        <f>IF(K6=0,0,(((M7+M9-M11)/M6)+((L7+L9-L11)/L6)+((K7+K9-K11)/K6))/3)</f>
        <v>0.16757774265730255</v>
      </c>
      <c r="O46" s="290">
        <f>IF(L6=0,0,(((N7+N9-N11)/N6)+((M7+M9-M11)/M6)+((L7+L9-L11)/L6))/3)</f>
        <v>0.16834044813882146</v>
      </c>
      <c r="P46" s="290">
        <f>IF(M6=0,0,(((O7+O9-O11)/O6)+((N7+N9-N11)/N6)+((M7+M9-M11)/M6))/3)</f>
        <v>0.16910249570234334</v>
      </c>
      <c r="Q46" s="290">
        <f>IF(N6=0,0,(((P7+P9-P11)/P6)+((O7+O9-O11)/O6)+((N7+N9-N11)/N6))/3)</f>
        <v>0.1698638858404529</v>
      </c>
      <c r="R46" s="290">
        <f>IF(O6=0,0,(((Q7+Q9-Q11)/Q6)+((P7+P9-P11)/P6)+((O7+O9-O11)/O6))/3)</f>
        <v>0.17062461904550394</v>
      </c>
      <c r="S46" s="290">
        <f>IF(P6=0,0,(((R7+R9-R11)/R6)+((Q7+Q9-Q11)/Q6)+((P7+P9-P11)/P6))/3)</f>
        <v>0.17138469580961901</v>
      </c>
      <c r="T46" s="290">
        <f>IF(Q6=0,0,(((S7+S9-S11)/S6)+((R7+R9-R11)/R6)+((Q7+Q9-Q11)/Q6))/3)</f>
        <v>0.17214411662468954</v>
      </c>
      <c r="U46" s="290">
        <f>IF(R6=0,0,(((T7+T9-T11)/T6)+((S7+S9-S11)/S6)+((R7+R9-R11)/R6))/3)</f>
        <v>0.17290288198237516</v>
      </c>
      <c r="V46" s="290">
        <f>IF(S6=0,0,(((U7+U9-U11)/U6)+((T7+T9-T11)/T6)+((S7+S9-S11)/S6))/3)</f>
        <v>0.17366099237410418</v>
      </c>
      <c r="W46" s="290">
        <f>IF(T6=0,0,(((V7+V9-V11)/V6)+((U7+U9-U11)/U6)+((T7+T9-T11)/T6))/3)</f>
        <v>0.1744184482910728</v>
      </c>
      <c r="X46" s="290">
        <f>IF(U6=0,0,(((W7+W9-W11)/W6)+((V7+V9-V11)/V6)+((U7+U9-U11)/U6))/3)</f>
        <v>0.1751752502242456</v>
      </c>
    </row>
    <row r="47" spans="2:24" ht="42" customHeight="1">
      <c r="B47" s="277" t="s">
        <v>414</v>
      </c>
      <c r="C47" s="72" t="str">
        <f>IF(C45&lt;=C46,"TAK","NIE")</f>
        <v>TAK</v>
      </c>
      <c r="D47" s="72" t="str">
        <f>IF(D45&lt;=D46,"TAK","NIE")</f>
        <v>NIE</v>
      </c>
      <c r="E47" s="72" t="str">
        <f>IF(E45&lt;=E46,"TAK","NIE")</f>
        <v>NIE</v>
      </c>
      <c r="F47" s="72" t="str">
        <f>IF(F45&lt;=F46,"TAK","NIE")</f>
        <v>TAK</v>
      </c>
      <c r="G47" s="72" t="str">
        <f>IF(G45&lt;=G46,"TAK","NIE")</f>
        <v>TAK</v>
      </c>
      <c r="H47" s="72" t="str">
        <f>IF(H45&lt;=H46,"TAK","NIE")</f>
        <v>TAK</v>
      </c>
      <c r="I47" s="72" t="str">
        <f>IF(I45&lt;=I46,"TAK","NIE")</f>
        <v>TAK</v>
      </c>
      <c r="J47" s="72" t="str">
        <f>IF(J45&lt;=J46,"TAK","NIE")</f>
        <v>TAK</v>
      </c>
      <c r="K47" s="72" t="str">
        <f>IF(K45&lt;=K46,"TAK","NIE")</f>
        <v>TAK</v>
      </c>
      <c r="L47" s="72" t="str">
        <f>IF(L45&lt;=L46,"TAK","NIE")</f>
        <v>TAK</v>
      </c>
      <c r="M47" s="72" t="str">
        <f>IF(M45&lt;=M46,"TAK","NIE")</f>
        <v>TAK</v>
      </c>
      <c r="N47" s="72" t="str">
        <f>IF(N45&lt;=N46,"TAK","NIE")</f>
        <v>TAK</v>
      </c>
      <c r="O47" s="72" t="str">
        <f>IF(O45&lt;=O46,"TAK","NIE")</f>
        <v>TAK</v>
      </c>
      <c r="P47" s="72" t="str">
        <f>IF(P45&lt;=P46,"TAK","NIE")</f>
        <v>TAK</v>
      </c>
      <c r="Q47" s="72" t="str">
        <f>IF(Q45&lt;=Q46,"TAK","NIE")</f>
        <v>TAK</v>
      </c>
      <c r="R47" s="72" t="str">
        <f>IF(R45&lt;=R46,"TAK","NIE")</f>
        <v>TAK</v>
      </c>
      <c r="S47" s="72" t="str">
        <f>IF(S45&lt;=S46,"TAK","NIE")</f>
        <v>TAK</v>
      </c>
      <c r="T47" s="72" t="str">
        <f>IF(T45&lt;=T46,"TAK","NIE")</f>
        <v>TAK</v>
      </c>
      <c r="U47" s="72" t="str">
        <f>IF(U45&lt;=U46,"TAK","NIE")</f>
        <v>TAK</v>
      </c>
      <c r="V47" s="72" t="str">
        <f>IF(V45&lt;=V46,"TAK","NIE")</f>
        <v>TAK</v>
      </c>
      <c r="W47" s="72" t="str">
        <f>IF(W45&lt;=W46,"TAK","NIE")</f>
        <v>TAK</v>
      </c>
      <c r="X47" s="72" t="str">
        <f>IF(X45&lt;=X46,"TAK","NIE")</f>
        <v>TAK</v>
      </c>
    </row>
    <row r="51" spans="2:3" ht="12.75">
      <c r="B51" t="s">
        <v>415</v>
      </c>
      <c r="C51" t="s">
        <v>416</v>
      </c>
    </row>
    <row r="52" ht="12.75">
      <c r="B52" s="291" t="str">
        <f>E2</f>
        <v>02 lutego 2012</v>
      </c>
    </row>
    <row r="58" spans="3:24" ht="12.75">
      <c r="C58" s="157">
        <v>2011</v>
      </c>
      <c r="D58" s="157">
        <v>2012</v>
      </c>
      <c r="E58" s="157">
        <v>2013</v>
      </c>
      <c r="F58" s="157">
        <v>2014</v>
      </c>
      <c r="G58" s="157">
        <v>2015</v>
      </c>
      <c r="H58" s="157">
        <v>2016</v>
      </c>
      <c r="I58" s="157">
        <v>2017</v>
      </c>
      <c r="J58" s="157">
        <v>2018</v>
      </c>
      <c r="K58" s="157">
        <v>2019</v>
      </c>
      <c r="L58" s="157">
        <v>2020</v>
      </c>
      <c r="M58" s="157">
        <v>2021</v>
      </c>
      <c r="N58" s="157">
        <v>2022</v>
      </c>
      <c r="O58" s="157">
        <v>2023</v>
      </c>
      <c r="P58" s="157">
        <v>2024</v>
      </c>
      <c r="Q58" s="157">
        <v>2025</v>
      </c>
      <c r="R58" s="157">
        <v>2026</v>
      </c>
      <c r="S58" s="157">
        <v>2027</v>
      </c>
      <c r="T58" s="157">
        <v>2028</v>
      </c>
      <c r="U58" s="157">
        <v>2029</v>
      </c>
      <c r="V58" s="157">
        <v>2030</v>
      </c>
      <c r="W58" s="157">
        <v>2031</v>
      </c>
      <c r="X58" s="157">
        <v>2032</v>
      </c>
    </row>
    <row r="59" spans="2:25" ht="15">
      <c r="B59" s="144" t="s">
        <v>417</v>
      </c>
      <c r="C59" s="292">
        <f>zał2!E67+zał2!E68</f>
        <v>6701134</v>
      </c>
      <c r="D59" s="292">
        <f>zał2!F67+zał2!F68</f>
        <v>7281140.890000001</v>
      </c>
      <c r="E59" s="292">
        <f>zał2!G67+zał2!G68</f>
        <v>5436134.04</v>
      </c>
      <c r="F59" s="292">
        <f>zał2!H67+zał2!H68</f>
        <v>5436134.84</v>
      </c>
      <c r="G59" s="292">
        <f>zał2!I67+zał2!I68</f>
        <v>3034270.84</v>
      </c>
      <c r="H59" s="292">
        <f>zał2!J67+zał2!J68</f>
        <v>3034270.84</v>
      </c>
      <c r="I59" s="292">
        <f>zał2!K67+zał2!K68</f>
        <v>3034270.84</v>
      </c>
      <c r="J59" s="292">
        <f>zał2!L67+zał2!L68</f>
        <v>3034270.84</v>
      </c>
      <c r="K59" s="292">
        <f>zał2!M67+zał2!M68</f>
        <v>3034279.84</v>
      </c>
      <c r="L59" s="292">
        <f>zał2!N67+zał2!N68</f>
        <v>2019326.73</v>
      </c>
      <c r="M59" s="292">
        <f>zał2!O67+zał2!O68</f>
        <v>471848</v>
      </c>
      <c r="N59" s="292">
        <f>zał2!P67+zał2!P68</f>
        <v>471848</v>
      </c>
      <c r="O59" s="292">
        <f>zał2!Q67+zał2!Q68</f>
        <v>471848</v>
      </c>
      <c r="P59" s="292">
        <f>zał2!R67+zał2!R68</f>
        <v>471848</v>
      </c>
      <c r="Q59" s="292">
        <f>zał2!S67+zał2!S68</f>
        <v>471848</v>
      </c>
      <c r="R59" s="292">
        <f>zał2!T67+zał2!T68</f>
        <v>471848</v>
      </c>
      <c r="S59" s="292">
        <f>zał2!U67+zał2!U68</f>
        <v>471848</v>
      </c>
      <c r="T59" s="292">
        <f>zał2!V67+zał2!V68</f>
        <v>471848</v>
      </c>
      <c r="U59" s="292">
        <f>zał2!W67+zał2!W68</f>
        <v>471848</v>
      </c>
      <c r="V59" s="292">
        <f>zał2!X67+zał2!X68</f>
        <v>471848</v>
      </c>
      <c r="W59" s="292">
        <f>zał2!Y67+zał2!Y68</f>
        <v>471860</v>
      </c>
      <c r="X59" s="292">
        <f>zał2!Z67+zał2!Z68</f>
        <v>0</v>
      </c>
      <c r="Y59" s="292"/>
    </row>
    <row r="60" spans="2:24" ht="12.75">
      <c r="B60" s="144" t="s">
        <v>418</v>
      </c>
      <c r="C60" s="293">
        <f>zał2!E75+zał2!E76+zał2!E74</f>
        <v>1974529.9</v>
      </c>
      <c r="D60" s="293">
        <f>zał2!F75+zał2!F76+zał2!F74</f>
        <v>1245956.9</v>
      </c>
      <c r="E60" s="293">
        <f>zał2!G75+zał2!G76+zał2!G74</f>
        <v>1083800.9</v>
      </c>
      <c r="F60" s="293">
        <f>zał2!H75+zał2!H76+zał2!H74</f>
        <v>1083800.9</v>
      </c>
      <c r="G60" s="293">
        <f>zał2!I75+zał2!I76+zał2!I74</f>
        <v>860083.9</v>
      </c>
      <c r="H60" s="293">
        <f>zał2!J75+zał2!J76+zał2!J74</f>
        <v>860083.9</v>
      </c>
      <c r="I60" s="293">
        <f>zał2!K75+zał2!K76+zał2!K74</f>
        <v>860083.9</v>
      </c>
      <c r="J60" s="293">
        <f>zał2!L75+zał2!L76+zał2!L74</f>
        <v>860083.9</v>
      </c>
      <c r="K60" s="293">
        <f>zał2!M75+zał2!M76+zał2!M74</f>
        <v>860086.9</v>
      </c>
      <c r="L60" s="293">
        <f>zał2!N75+zał2!N76+zał2!N74</f>
        <v>388668.9</v>
      </c>
      <c r="M60" s="293">
        <f>zał2!O75+zał2!O76+zał2!O74</f>
        <v>75188</v>
      </c>
      <c r="N60" s="293">
        <f>zał2!P75+zał2!P76+zał2!P74</f>
        <v>75188</v>
      </c>
      <c r="O60" s="293">
        <f>zał2!Q75+zał2!Q76+zał2!Q74</f>
        <v>75188</v>
      </c>
      <c r="P60" s="293">
        <f>zał2!R75+zał2!R76+zał2!R74</f>
        <v>75188</v>
      </c>
      <c r="Q60" s="293">
        <f>zał2!S75+zał2!S76+zał2!S74</f>
        <v>75188</v>
      </c>
      <c r="R60" s="293">
        <f>zał2!T75+zał2!T76+zał2!T74</f>
        <v>75188</v>
      </c>
      <c r="S60" s="293">
        <f>zał2!U75+zał2!U76+zał2!U74</f>
        <v>75188</v>
      </c>
      <c r="T60" s="293">
        <f>zał2!V75+zał2!V76+zał2!V74</f>
        <v>75188</v>
      </c>
      <c r="U60" s="293">
        <f>zał2!W75+zał2!W76+zał2!W74</f>
        <v>75188</v>
      </c>
      <c r="V60" s="293">
        <f>zał2!X75+zał2!X76+zał2!X74</f>
        <v>75188</v>
      </c>
      <c r="W60" s="293">
        <f>zał2!Y75+zał2!Y76+zał2!Y74</f>
        <v>75234</v>
      </c>
      <c r="X60" s="293">
        <f>zał2!Z75+zał2!Z76+zał2!Z74</f>
        <v>0</v>
      </c>
    </row>
    <row r="61" spans="2:25" ht="24.75">
      <c r="B61" s="294" t="s">
        <v>419</v>
      </c>
      <c r="C61" s="295">
        <v>1566669.5850000002</v>
      </c>
      <c r="D61" s="5">
        <f>SUM(D62*0.05)</f>
        <v>1662664.9405000003</v>
      </c>
      <c r="E61" s="5">
        <f>SUM(E62*0.05)</f>
        <v>1390858.2385000002</v>
      </c>
      <c r="F61" s="5">
        <f>SUM(F62*0.05)</f>
        <v>1119051.4965000001</v>
      </c>
      <c r="G61" s="5">
        <f>SUM(G62*0.05)</f>
        <v>967337.9545000002</v>
      </c>
      <c r="H61" s="5">
        <f>SUM(H62*0.05)</f>
        <v>815624.4125000002</v>
      </c>
      <c r="I61" s="5">
        <f>SUM(I62*0.05)</f>
        <v>663910.8705000002</v>
      </c>
      <c r="J61" s="5">
        <f>SUM(J62*0.05)</f>
        <v>512197.32850000024</v>
      </c>
      <c r="K61" s="5">
        <f>SUM(K62*0.05)</f>
        <v>360483.3365000002</v>
      </c>
      <c r="Y61" t="s">
        <v>420</v>
      </c>
    </row>
    <row r="62" spans="2:23" ht="12.75">
      <c r="B62" s="144" t="s">
        <v>421</v>
      </c>
      <c r="C62" s="296">
        <f>zał2!E43</f>
        <v>40534439.7</v>
      </c>
      <c r="D62" s="5">
        <f>SUM(C62-D59)</f>
        <v>33253298.810000002</v>
      </c>
      <c r="E62" s="5">
        <f>SUM(D62-E59)</f>
        <v>27817164.770000003</v>
      </c>
      <c r="F62" s="5">
        <f>SUM(E62-F59)</f>
        <v>22381029.930000003</v>
      </c>
      <c r="G62" s="5">
        <f>SUM(F62-G59)</f>
        <v>19346759.090000004</v>
      </c>
      <c r="H62" s="5">
        <f>SUM(G62-H59)</f>
        <v>16312488.250000004</v>
      </c>
      <c r="I62" s="5">
        <f>SUM(H62-I59)</f>
        <v>13278217.410000004</v>
      </c>
      <c r="J62" s="5">
        <f>SUM(I62-J59)</f>
        <v>10243946.570000004</v>
      </c>
      <c r="K62" s="5">
        <f>SUM(J62-K59)</f>
        <v>7209666.730000004</v>
      </c>
      <c r="L62" s="5">
        <f>SUM(K62-L59)</f>
        <v>5190340.000000004</v>
      </c>
      <c r="M62" s="5">
        <f>SUM(L62-M59)</f>
        <v>4718492.000000004</v>
      </c>
      <c r="N62" s="5">
        <f>SUM(M62-N59)</f>
        <v>4246644.000000004</v>
      </c>
      <c r="O62" s="5">
        <f>SUM(N62-O59)</f>
        <v>3774796.0000000037</v>
      </c>
      <c r="P62" s="5">
        <f>SUM(O62-P59)</f>
        <v>3302948.0000000037</v>
      </c>
      <c r="Q62" s="5">
        <f>SUM(P62-Q59)</f>
        <v>2831100.0000000037</v>
      </c>
      <c r="R62" s="5">
        <f>SUM(Q62-R59)</f>
        <v>2359252.0000000037</v>
      </c>
      <c r="S62" s="5">
        <f>SUM(R62-S59)</f>
        <v>1887404.0000000037</v>
      </c>
      <c r="T62" s="5">
        <f>SUM(S62-T59)</f>
        <v>1415556.0000000037</v>
      </c>
      <c r="U62" s="5">
        <f>SUM(T62-U59)</f>
        <v>943708.0000000037</v>
      </c>
      <c r="V62" s="5">
        <f>SUM(U62-V59)</f>
        <v>471860.0000000037</v>
      </c>
      <c r="W62" s="5">
        <f>SUM(V62-W59)</f>
        <v>3.725290298461914E-09</v>
      </c>
    </row>
    <row r="63" spans="2:25" ht="12.75">
      <c r="B63" s="144" t="s">
        <v>422</v>
      </c>
      <c r="C63" s="211">
        <f>zał2!E69</f>
        <v>0</v>
      </c>
      <c r="D63" s="211">
        <f>zał2!F69</f>
        <v>0</v>
      </c>
      <c r="E63" s="297">
        <f>zał2!G69</f>
        <v>418691.39450000005</v>
      </c>
      <c r="F63" s="297">
        <f>zał2!H69</f>
        <v>418691.39450000005</v>
      </c>
      <c r="G63" s="297">
        <f>zał2!I69</f>
        <v>418691.39450000005</v>
      </c>
      <c r="H63" s="297">
        <f>zał2!J69</f>
        <v>418691.39450000005</v>
      </c>
      <c r="I63" s="297">
        <f>zał2!K69</f>
        <v>418691.39450000005</v>
      </c>
      <c r="J63" s="297">
        <f>zał2!L69</f>
        <v>418691.39450000005</v>
      </c>
      <c r="K63" s="297">
        <f>zał2!M69</f>
        <v>418691.39450000005</v>
      </c>
      <c r="L63" s="297">
        <f>zał2!N69</f>
        <v>418691.39450000005</v>
      </c>
      <c r="M63" s="297">
        <f>zał2!O69</f>
        <v>418691.39450000005</v>
      </c>
      <c r="N63" s="297">
        <f>zał2!P69</f>
        <v>418691.39450000005</v>
      </c>
      <c r="O63" s="297">
        <f>zał2!Q69</f>
        <v>418691.39450000005</v>
      </c>
      <c r="P63" s="297">
        <f>zał2!R69</f>
        <v>418691.39450000005</v>
      </c>
      <c r="Q63" s="297">
        <f>zał2!S69</f>
        <v>418691.39450000005</v>
      </c>
      <c r="R63" s="297">
        <f>zał2!T69</f>
        <v>418691.39450000005</v>
      </c>
      <c r="S63" s="297">
        <f>zał2!U69</f>
        <v>418691.39450000005</v>
      </c>
      <c r="T63" s="297">
        <f>zał2!V69</f>
        <v>418691.39450000005</v>
      </c>
      <c r="U63" s="297">
        <f>zał2!W69</f>
        <v>418691.39450000005</v>
      </c>
      <c r="V63" s="297">
        <f>zał2!X69</f>
        <v>418691.39450000005</v>
      </c>
      <c r="W63" s="297">
        <f>zał2!Y69</f>
        <v>418691.39450000005</v>
      </c>
      <c r="X63" s="297">
        <f>zał2!Z69</f>
        <v>418691.39450000005</v>
      </c>
      <c r="Y63" s="180">
        <f>SUM(D63:X63)</f>
        <v>8373827.890000003</v>
      </c>
    </row>
    <row r="64" spans="2:25" ht="12.75">
      <c r="B64" s="144" t="s">
        <v>418</v>
      </c>
      <c r="C64" s="211">
        <f>zał2!E77</f>
        <v>0</v>
      </c>
      <c r="D64" s="211">
        <f>zał2!F77</f>
        <v>0</v>
      </c>
      <c r="E64" s="211">
        <f>zał2!G77</f>
        <v>131634.35</v>
      </c>
      <c r="F64" s="211">
        <f>zał2!H77</f>
        <v>131634.35</v>
      </c>
      <c r="G64" s="211">
        <f>zał2!I77</f>
        <v>131634.35</v>
      </c>
      <c r="H64" s="211">
        <f>zał2!J77</f>
        <v>131634.35</v>
      </c>
      <c r="I64" s="211">
        <f>zał2!K77</f>
        <v>131634.35</v>
      </c>
      <c r="J64" s="211">
        <f>zał2!L77</f>
        <v>131634.35</v>
      </c>
      <c r="K64" s="211">
        <f>zał2!M77</f>
        <v>131634.35</v>
      </c>
      <c r="L64" s="211">
        <f>zał2!N77</f>
        <v>131634.35</v>
      </c>
      <c r="M64" s="211">
        <f>zał2!O77</f>
        <v>131634.35</v>
      </c>
      <c r="N64" s="211">
        <f>zał2!P77</f>
        <v>131634.35</v>
      </c>
      <c r="O64" s="211">
        <f>zał2!Q77</f>
        <v>131634.35</v>
      </c>
      <c r="P64" s="211">
        <f>zał2!R77</f>
        <v>131634.35</v>
      </c>
      <c r="Q64" s="211">
        <f>zał2!S77</f>
        <v>131634.35</v>
      </c>
      <c r="R64" s="211">
        <f>zał2!T77</f>
        <v>131634.35</v>
      </c>
      <c r="S64" s="211">
        <f>zał2!U77</f>
        <v>131634.35</v>
      </c>
      <c r="T64" s="211">
        <f>zał2!V77</f>
        <v>131634.35</v>
      </c>
      <c r="U64" s="211">
        <f>zał2!W77</f>
        <v>131634.35</v>
      </c>
      <c r="V64" s="211">
        <f>zał2!X77</f>
        <v>131634.35</v>
      </c>
      <c r="W64" s="211">
        <f>zał2!Y77</f>
        <v>131634.35</v>
      </c>
      <c r="X64" s="211">
        <f>zał2!Z77</f>
        <v>131634.35</v>
      </c>
      <c r="Y64" s="180">
        <f>SUM(D64:X64)</f>
        <v>2632687.000000001</v>
      </c>
    </row>
    <row r="65" spans="2:24" ht="12.75">
      <c r="B65" s="144" t="s">
        <v>423</v>
      </c>
      <c r="C65" s="295">
        <v>433330.4149999998</v>
      </c>
      <c r="D65" s="5">
        <f>SUM(D76-D61)</f>
        <v>537335.0594999997</v>
      </c>
      <c r="E65" s="5">
        <f>SUM(E76-E61)</f>
        <v>755479.8374299996</v>
      </c>
      <c r="F65" s="5">
        <f>SUM(F76-F61)</f>
        <v>675997.0053600001</v>
      </c>
      <c r="G65" s="5">
        <f>SUM(G76-G61)</f>
        <v>620532.81329</v>
      </c>
      <c r="H65" s="5">
        <f>SUM(H76-H61)</f>
        <v>565068.6212200002</v>
      </c>
      <c r="I65" s="5">
        <f>SUM(I76-I61)</f>
        <v>509604.4291500002</v>
      </c>
      <c r="J65" s="5">
        <f>SUM(J76-J61)</f>
        <v>454140.23708000017</v>
      </c>
      <c r="K65" s="5">
        <f>SUM(K76-K61)</f>
        <v>398675.95501000027</v>
      </c>
      <c r="L65" s="5">
        <f>SUM(L76-L61)</f>
        <v>612878.2040400004</v>
      </c>
      <c r="M65" s="5">
        <f>SUM(M76-M61)</f>
        <v>559445.8403700005</v>
      </c>
      <c r="N65" s="5">
        <f>SUM(N76-N61)</f>
        <v>506013.47670000046</v>
      </c>
      <c r="O65" s="5">
        <f>SUM(O76-O61)</f>
        <v>452581.1130300004</v>
      </c>
      <c r="P65" s="5">
        <f>SUM(P76-P61)</f>
        <v>399148.7493600004</v>
      </c>
      <c r="Q65" s="5">
        <f>SUM(Q76-Q61)</f>
        <v>345716.3856900004</v>
      </c>
      <c r="R65" s="5">
        <f>SUM(R76-R61)</f>
        <v>292284.0220200004</v>
      </c>
      <c r="S65" s="5">
        <f>SUM(S76-S61)</f>
        <v>238851.65835000036</v>
      </c>
      <c r="T65" s="5">
        <f>SUM(T76-T61)</f>
        <v>185419.29468000037</v>
      </c>
      <c r="U65" s="5">
        <f>SUM(U76-U61)</f>
        <v>131986.93101000038</v>
      </c>
      <c r="V65" s="5">
        <f>SUM(V76-V61)</f>
        <v>78554.56734000039</v>
      </c>
      <c r="W65" s="5">
        <f>SUM(W76-W61)</f>
        <v>25121.48367000038</v>
      </c>
      <c r="X65" s="5">
        <f>SUM(X76-X61)</f>
        <v>0</v>
      </c>
    </row>
    <row r="66" spans="2:24" ht="12.75">
      <c r="B66" s="144" t="s">
        <v>424</v>
      </c>
      <c r="C66" s="298">
        <f>zał2!C69</f>
        <v>8373827.890000001</v>
      </c>
      <c r="D66" s="5">
        <f>SUM(C66-D63)</f>
        <v>8373827.890000001</v>
      </c>
      <c r="E66" s="5">
        <f>SUM(D66-E63)</f>
        <v>7955136.4955</v>
      </c>
      <c r="F66" s="5">
        <f>SUM(E66-F63)</f>
        <v>7536445.101</v>
      </c>
      <c r="G66" s="5">
        <f>SUM(F66-G63)</f>
        <v>7117753.706499999</v>
      </c>
      <c r="H66" s="5">
        <f>SUM(G66-H63)</f>
        <v>6699062.311999999</v>
      </c>
      <c r="I66" s="5">
        <f>SUM(H66-I63)</f>
        <v>6280370.917499999</v>
      </c>
      <c r="J66" s="5">
        <f>SUM(I66-J63)</f>
        <v>5861679.522999998</v>
      </c>
      <c r="K66" s="5">
        <f>SUM(J66-K63)</f>
        <v>5442988.128499998</v>
      </c>
      <c r="L66" s="5">
        <f>SUM(K66-L63)</f>
        <v>5024296.733999997</v>
      </c>
      <c r="M66" s="5">
        <f>SUM(L66-M63)</f>
        <v>4605605.339499997</v>
      </c>
      <c r="N66" s="5">
        <f>SUM(M66-N63)</f>
        <v>4186913.944999997</v>
      </c>
      <c r="O66" s="5">
        <f>SUM(N66-O63)</f>
        <v>3768222.550499997</v>
      </c>
      <c r="P66" s="5">
        <f>SUM(O66-P63)</f>
        <v>3349531.155999997</v>
      </c>
      <c r="Q66" s="5">
        <f>SUM(P66-Q63)</f>
        <v>2930839.761499997</v>
      </c>
      <c r="R66" s="5">
        <f>SUM(Q66-R63)</f>
        <v>2512148.3669999973</v>
      </c>
      <c r="S66" s="5">
        <f>SUM(R66-S63)</f>
        <v>2093456.9724999974</v>
      </c>
      <c r="T66" s="5">
        <f>SUM(S66-T63)</f>
        <v>1674765.5779999974</v>
      </c>
      <c r="U66" s="5">
        <f>SUM(T66-U63)</f>
        <v>1256074.1834999975</v>
      </c>
      <c r="V66" s="5">
        <f>SUM(U66-V63)</f>
        <v>837382.7889999974</v>
      </c>
      <c r="W66" s="5">
        <f>SUM(V66-W63)</f>
        <v>418691.3944999974</v>
      </c>
      <c r="X66" s="5"/>
    </row>
    <row r="67" spans="2:25" ht="12.75">
      <c r="B67" s="144" t="s">
        <v>418</v>
      </c>
      <c r="C67" s="299">
        <f>zał2!C77</f>
        <v>2632687</v>
      </c>
      <c r="D67" s="201">
        <f>SUM(C67-D64)</f>
        <v>2632687</v>
      </c>
      <c r="E67" s="201">
        <f>SUM(D67-E64)</f>
        <v>2501052.65</v>
      </c>
      <c r="F67" s="201">
        <f>SUM(E67-F64)</f>
        <v>2369418.3</v>
      </c>
      <c r="G67" s="201">
        <f>SUM(F67-G64)</f>
        <v>2237783.9499999997</v>
      </c>
      <c r="H67" s="201">
        <f>SUM(G67-H64)</f>
        <v>2106149.5999999996</v>
      </c>
      <c r="I67" s="201">
        <f>SUM(H67-I64)</f>
        <v>1974515.2499999995</v>
      </c>
      <c r="J67" s="201">
        <f>SUM(I67-J64)</f>
        <v>1842880.8999999994</v>
      </c>
      <c r="K67" s="201">
        <f>SUM(J67-K64)</f>
        <v>1711246.5499999993</v>
      </c>
      <c r="L67" s="201">
        <f>SUM(K67-L64)</f>
        <v>1579612.1999999993</v>
      </c>
      <c r="M67" s="201">
        <f>SUM(L67-M64)</f>
        <v>1447977.8499999992</v>
      </c>
      <c r="N67" s="201">
        <f>SUM(M67-N64)</f>
        <v>1316343.499999999</v>
      </c>
      <c r="O67" s="201">
        <f>SUM(N67-O64)</f>
        <v>1184709.149999999</v>
      </c>
      <c r="P67" s="201">
        <f>SUM(O67-P64)</f>
        <v>1053074.7999999989</v>
      </c>
      <c r="Q67" s="201">
        <f>SUM(P67-Q64)</f>
        <v>921440.4499999989</v>
      </c>
      <c r="R67" s="201">
        <f>SUM(Q67-R64)</f>
        <v>789806.0999999989</v>
      </c>
      <c r="S67" s="201">
        <f>SUM(R67-S64)</f>
        <v>658171.749999999</v>
      </c>
      <c r="T67" s="201">
        <f>SUM(S67-T64)</f>
        <v>526537.399999999</v>
      </c>
      <c r="U67" s="201">
        <f>SUM(T67-U64)</f>
        <v>394903.049999999</v>
      </c>
      <c r="V67" s="201">
        <f>SUM(U67-V64)</f>
        <v>263268.699999999</v>
      </c>
      <c r="W67" s="201">
        <f>SUM(V67-W64)</f>
        <v>131634.34999999902</v>
      </c>
      <c r="X67" s="201"/>
      <c r="Y67" t="s">
        <v>420</v>
      </c>
    </row>
    <row r="68" spans="2:25" ht="12.75">
      <c r="B68" s="144" t="s">
        <v>425</v>
      </c>
      <c r="C68" s="300"/>
      <c r="D68" s="301"/>
      <c r="E68" s="201">
        <v>0</v>
      </c>
      <c r="F68" s="201">
        <v>0</v>
      </c>
      <c r="G68" s="201">
        <v>0</v>
      </c>
      <c r="H68" s="201">
        <v>0</v>
      </c>
      <c r="I68" s="201">
        <v>0</v>
      </c>
      <c r="J68" s="201">
        <v>0</v>
      </c>
      <c r="K68" s="201">
        <v>0</v>
      </c>
      <c r="L68" s="201">
        <v>0</v>
      </c>
      <c r="M68" s="201">
        <v>0</v>
      </c>
      <c r="N68" s="201">
        <v>0</v>
      </c>
      <c r="O68" s="201">
        <v>0</v>
      </c>
      <c r="P68" s="201">
        <v>0</v>
      </c>
      <c r="Q68" s="201">
        <v>0</v>
      </c>
      <c r="R68" s="201">
        <v>0</v>
      </c>
      <c r="S68" s="201">
        <v>0</v>
      </c>
      <c r="T68" s="201">
        <v>0</v>
      </c>
      <c r="U68" s="201">
        <v>0</v>
      </c>
      <c r="V68" s="201">
        <v>0</v>
      </c>
      <c r="W68" s="201">
        <v>0</v>
      </c>
      <c r="X68" s="201">
        <v>0</v>
      </c>
      <c r="Y68" s="201">
        <f>SUM(E68:X68)</f>
        <v>0</v>
      </c>
    </row>
    <row r="69" spans="2:25" ht="12.75">
      <c r="B69" s="144" t="s">
        <v>418</v>
      </c>
      <c r="C69" s="301"/>
      <c r="D69" s="301"/>
      <c r="E69" s="201">
        <v>0</v>
      </c>
      <c r="F69" s="201">
        <v>0</v>
      </c>
      <c r="G69" s="201">
        <v>0</v>
      </c>
      <c r="H69" s="201">
        <v>0</v>
      </c>
      <c r="I69" s="201">
        <v>0</v>
      </c>
      <c r="J69" s="201">
        <v>0</v>
      </c>
      <c r="K69" s="201">
        <v>0</v>
      </c>
      <c r="L69" s="201">
        <v>0</v>
      </c>
      <c r="M69" s="201">
        <v>0</v>
      </c>
      <c r="N69" s="201">
        <v>0</v>
      </c>
      <c r="O69" s="201">
        <v>0</v>
      </c>
      <c r="P69" s="201">
        <v>0</v>
      </c>
      <c r="Q69" s="201">
        <v>0</v>
      </c>
      <c r="R69" s="201">
        <v>0</v>
      </c>
      <c r="S69" s="201">
        <v>0</v>
      </c>
      <c r="T69" s="201">
        <v>0</v>
      </c>
      <c r="U69" s="201">
        <v>0</v>
      </c>
      <c r="V69" s="201">
        <v>0</v>
      </c>
      <c r="W69" s="201">
        <v>0</v>
      </c>
      <c r="X69" s="201">
        <v>0</v>
      </c>
      <c r="Y69" s="201">
        <f>SUM(E69:X69)</f>
        <v>0</v>
      </c>
    </row>
    <row r="70" spans="2:24" ht="12.75">
      <c r="B70" s="144" t="s">
        <v>426</v>
      </c>
      <c r="C70" s="299"/>
      <c r="D70" s="5">
        <f>SUM(D71*0.05)</f>
        <v>0</v>
      </c>
      <c r="E70" s="5">
        <f>SUM(E71*0.05)</f>
        <v>0</v>
      </c>
      <c r="F70" s="5">
        <f>SUM(F71*0.05)</f>
        <v>0</v>
      </c>
      <c r="G70" s="5">
        <f>SUM(G71*0.05)</f>
        <v>0</v>
      </c>
      <c r="H70" s="5">
        <f>SUM(H71*0.05)</f>
        <v>0</v>
      </c>
      <c r="I70" s="5">
        <f>SUM(I71*0.05)</f>
        <v>0</v>
      </c>
      <c r="J70" s="5">
        <f>SUM(J71*0.05)</f>
        <v>0</v>
      </c>
      <c r="K70" s="5">
        <f>SUM(K71*0.05)</f>
        <v>0</v>
      </c>
      <c r="L70" s="5">
        <f>SUM(L71*0.05)</f>
        <v>0</v>
      </c>
      <c r="M70" s="5">
        <f>SUM(M71*0.05)</f>
        <v>0</v>
      </c>
      <c r="N70" s="5">
        <f>SUM(N71*0.05)</f>
        <v>0</v>
      </c>
      <c r="O70" s="5">
        <f>SUM(O71*0.05)</f>
        <v>0</v>
      </c>
      <c r="P70" s="5">
        <f>SUM(P71*0.05)</f>
        <v>0</v>
      </c>
      <c r="Q70" s="5">
        <f>SUM(Q71*0.05)</f>
        <v>0</v>
      </c>
      <c r="R70" s="5">
        <f>SUM(R71*0.05)</f>
        <v>0</v>
      </c>
      <c r="S70" s="5">
        <f>SUM(S71*0.05)</f>
        <v>0</v>
      </c>
      <c r="T70" s="5">
        <f>SUM(T71*0.05)</f>
        <v>0</v>
      </c>
      <c r="U70" s="5">
        <f>SUM(U71*0.05)</f>
        <v>0</v>
      </c>
      <c r="V70" s="5">
        <f>SUM(V71*0.05)</f>
        <v>0</v>
      </c>
      <c r="W70" s="5">
        <f>SUM(W71*0.05)</f>
        <v>0</v>
      </c>
      <c r="X70" s="5">
        <f>SUM(X71*0.05)</f>
        <v>0</v>
      </c>
    </row>
    <row r="71" spans="2:24" ht="12.75">
      <c r="B71" s="144" t="s">
        <v>427</v>
      </c>
      <c r="C71" s="299"/>
      <c r="D71" s="299">
        <v>0</v>
      </c>
      <c r="E71" s="299">
        <v>0</v>
      </c>
      <c r="F71" s="299">
        <v>0</v>
      </c>
      <c r="G71" s="299">
        <v>0</v>
      </c>
      <c r="H71" s="299">
        <v>0</v>
      </c>
      <c r="I71" s="299">
        <v>0</v>
      </c>
      <c r="J71" s="299">
        <v>0</v>
      </c>
      <c r="K71" s="299">
        <v>0</v>
      </c>
      <c r="L71" s="299">
        <v>0</v>
      </c>
      <c r="M71" s="299">
        <v>0</v>
      </c>
      <c r="N71" s="299">
        <v>0</v>
      </c>
      <c r="O71" s="299">
        <v>0</v>
      </c>
      <c r="P71" s="299">
        <v>0</v>
      </c>
      <c r="Q71" s="299">
        <v>0</v>
      </c>
      <c r="R71" s="299">
        <v>0</v>
      </c>
      <c r="S71" s="299">
        <v>0</v>
      </c>
      <c r="T71" s="299">
        <v>0</v>
      </c>
      <c r="U71" s="299">
        <v>0</v>
      </c>
      <c r="V71" s="299">
        <v>0</v>
      </c>
      <c r="W71" s="299">
        <v>0</v>
      </c>
      <c r="X71" s="299">
        <v>0</v>
      </c>
    </row>
    <row r="72" spans="2:24" ht="12.75">
      <c r="B72" s="144" t="s">
        <v>418</v>
      </c>
      <c r="C72" s="299"/>
      <c r="D72" s="302">
        <v>0</v>
      </c>
      <c r="E72" s="299">
        <v>0</v>
      </c>
      <c r="F72" s="299">
        <v>0</v>
      </c>
      <c r="G72" s="299">
        <v>0</v>
      </c>
      <c r="H72" s="299">
        <v>0</v>
      </c>
      <c r="I72" s="299">
        <v>0</v>
      </c>
      <c r="J72" s="299">
        <v>0</v>
      </c>
      <c r="K72" s="299">
        <v>0</v>
      </c>
      <c r="L72" s="299">
        <v>0</v>
      </c>
      <c r="M72" s="299">
        <v>0</v>
      </c>
      <c r="N72" s="299">
        <v>0</v>
      </c>
      <c r="O72" s="299">
        <v>0</v>
      </c>
      <c r="P72" s="299">
        <v>0</v>
      </c>
      <c r="Q72" s="299">
        <v>0</v>
      </c>
      <c r="R72" s="299">
        <v>0</v>
      </c>
      <c r="S72" s="299">
        <v>0</v>
      </c>
      <c r="T72" s="299">
        <v>0</v>
      </c>
      <c r="U72" s="299">
        <v>0</v>
      </c>
      <c r="V72" s="299">
        <v>0</v>
      </c>
      <c r="W72" s="299">
        <v>0</v>
      </c>
      <c r="X72" s="299">
        <v>0</v>
      </c>
    </row>
    <row r="73" spans="2:24" ht="12.75">
      <c r="B73" s="144" t="s">
        <v>428</v>
      </c>
      <c r="C73" s="303">
        <f>zał2!E46</f>
        <v>40534439.7</v>
      </c>
      <c r="D73" s="201">
        <f>SUM(D62+D66)</f>
        <v>41627126.7</v>
      </c>
      <c r="E73" s="201">
        <f>SUM(E62+E66)</f>
        <v>35772301.2655</v>
      </c>
      <c r="F73" s="201">
        <f>SUM(F62+F66)</f>
        <v>29917475.031000003</v>
      </c>
      <c r="G73" s="201">
        <f>SUM(G62+G66)</f>
        <v>26464512.796500005</v>
      </c>
      <c r="H73" s="201">
        <f>SUM(H62+H66)</f>
        <v>23011550.562000003</v>
      </c>
      <c r="I73" s="201">
        <f>SUM(I62+I66)</f>
        <v>19558588.3275</v>
      </c>
      <c r="J73" s="201">
        <f>SUM(J62+J66)</f>
        <v>16105626.093000002</v>
      </c>
      <c r="K73" s="201">
        <f>SUM(K62+K66)</f>
        <v>12652654.858500002</v>
      </c>
      <c r="L73" s="201">
        <f>SUM(L62+L66)</f>
        <v>10214636.734000001</v>
      </c>
      <c r="M73" s="201">
        <f>SUM(M62+M66)</f>
        <v>9324097.3395</v>
      </c>
      <c r="N73" s="201">
        <f>SUM(N62+N66)</f>
        <v>8433557.945</v>
      </c>
      <c r="O73" s="201">
        <f>SUM(O62+O66)</f>
        <v>7543018.550500001</v>
      </c>
      <c r="P73" s="201">
        <f>SUM(P62+P66)</f>
        <v>6652479.156000001</v>
      </c>
      <c r="Q73" s="201">
        <f>SUM(Q62+Q66)</f>
        <v>5761939.761500001</v>
      </c>
      <c r="R73" s="201">
        <f>SUM(R62+R66)</f>
        <v>4871400.367000001</v>
      </c>
      <c r="S73" s="201">
        <f>SUM(S62+S66)</f>
        <v>3980860.972500001</v>
      </c>
      <c r="T73" s="201">
        <f>SUM(T62+T66)</f>
        <v>3090321.578000001</v>
      </c>
      <c r="U73" s="201">
        <f>SUM(U62+U66)</f>
        <v>2199782.183500001</v>
      </c>
      <c r="V73" s="201">
        <f>SUM(V62+V66)</f>
        <v>1309242.7890000013</v>
      </c>
      <c r="W73" s="201">
        <f>SUM(W62+W66)</f>
        <v>418691.3945000011</v>
      </c>
      <c r="X73" s="201">
        <f>SUM(X62+X66)</f>
        <v>0</v>
      </c>
    </row>
    <row r="74" spans="2:24" ht="12.75">
      <c r="B74" s="144" t="s">
        <v>429</v>
      </c>
      <c r="C74" s="303">
        <f>zał2!E47</f>
        <v>8929764.1</v>
      </c>
      <c r="D74" s="201">
        <f>zał2!F47</f>
        <v>10316494.2</v>
      </c>
      <c r="E74" s="201">
        <f>zał2!G47</f>
        <v>9101058.95</v>
      </c>
      <c r="F74" s="201">
        <f>zał2!H47</f>
        <v>7885623.699999999</v>
      </c>
      <c r="G74" s="201">
        <f>zał2!I47</f>
        <v>6893905.449999999</v>
      </c>
      <c r="H74" s="201">
        <f>zał2!J47</f>
        <v>5902187.199999999</v>
      </c>
      <c r="I74" s="201">
        <f>zał2!K47</f>
        <v>4910468.949999999</v>
      </c>
      <c r="J74" s="201">
        <f>zał2!L47</f>
        <v>3918750.6999999993</v>
      </c>
      <c r="K74" s="201">
        <f>zał2!M47</f>
        <v>2927029.4499999993</v>
      </c>
      <c r="L74" s="201">
        <f>zał2!N47</f>
        <v>2406726.1999999993</v>
      </c>
      <c r="M74" s="201">
        <f>zał2!O47</f>
        <v>2199903.849999999</v>
      </c>
      <c r="N74" s="201">
        <f>zał2!P47</f>
        <v>1993081.499999999</v>
      </c>
      <c r="O74" s="201">
        <f>zał2!Q47</f>
        <v>1786259.149999999</v>
      </c>
      <c r="P74" s="201">
        <f>zał2!R47</f>
        <v>1579436.7999999989</v>
      </c>
      <c r="Q74" s="201">
        <f>zał2!S47</f>
        <v>1372614.4499999988</v>
      </c>
      <c r="R74" s="201">
        <f>zał2!T47</f>
        <v>1165792.0999999987</v>
      </c>
      <c r="S74" s="201">
        <f>zał2!U47</f>
        <v>958969.7499999987</v>
      </c>
      <c r="T74" s="201">
        <f>zał2!V47</f>
        <v>752147.3999999987</v>
      </c>
      <c r="U74" s="201">
        <f>zał2!W47</f>
        <v>545325.0499999988</v>
      </c>
      <c r="V74" s="201">
        <f>zał2!X47</f>
        <v>338502.6999999988</v>
      </c>
      <c r="W74" s="201">
        <f>zał2!Y47</f>
        <v>131634.34999999878</v>
      </c>
      <c r="X74" s="201">
        <f>zał2!Z47</f>
        <v>-1.2223608791828156E-09</v>
      </c>
    </row>
    <row r="76" spans="2:24" ht="12.75">
      <c r="B76" s="144" t="s">
        <v>430</v>
      </c>
      <c r="C76" s="304">
        <f>zał2!E37</f>
        <v>1650727.24</v>
      </c>
      <c r="D76" s="304">
        <f>zał2!F37</f>
        <v>2200000</v>
      </c>
      <c r="E76" s="304">
        <f>zał2!G37</f>
        <v>2146338.07593</v>
      </c>
      <c r="F76" s="304">
        <f>zał2!H37</f>
        <v>1795048.5018600002</v>
      </c>
      <c r="G76" s="304">
        <f>zał2!I37</f>
        <v>1587870.7677900002</v>
      </c>
      <c r="H76" s="304">
        <f>zał2!J37</f>
        <v>1380693.0337200004</v>
      </c>
      <c r="I76" s="304">
        <f>zał2!K37</f>
        <v>1173515.2996500004</v>
      </c>
      <c r="J76" s="304">
        <f>zał2!L37</f>
        <v>966337.5655800004</v>
      </c>
      <c r="K76" s="304">
        <f>zał2!M37</f>
        <v>759159.2915100005</v>
      </c>
      <c r="L76" s="304">
        <f>zał2!N37</f>
        <v>612878.2040400004</v>
      </c>
      <c r="M76" s="304">
        <f>zał2!O37</f>
        <v>559445.8403700005</v>
      </c>
      <c r="N76" s="304">
        <f>zał2!P37</f>
        <v>506013.47670000046</v>
      </c>
      <c r="O76" s="304">
        <f>zał2!Q37</f>
        <v>452581.1130300004</v>
      </c>
      <c r="P76" s="304">
        <f>zał2!R37</f>
        <v>399148.7493600004</v>
      </c>
      <c r="Q76" s="304">
        <f>zał2!S37</f>
        <v>345716.3856900004</v>
      </c>
      <c r="R76" s="304">
        <f>zał2!T37</f>
        <v>292284.0220200004</v>
      </c>
      <c r="S76" s="304">
        <f>zał2!U37</f>
        <v>238851.65835000036</v>
      </c>
      <c r="T76" s="304">
        <f>zał2!V37</f>
        <v>185419.29468000037</v>
      </c>
      <c r="U76" s="304">
        <f>zał2!W37</f>
        <v>131986.93101000038</v>
      </c>
      <c r="V76" s="304">
        <f>zał2!X37</f>
        <v>78554.56734000039</v>
      </c>
      <c r="W76" s="304">
        <f>zał2!Y37</f>
        <v>25121.48367000038</v>
      </c>
      <c r="X76" s="304">
        <f>zał2!Z37</f>
        <v>0</v>
      </c>
    </row>
    <row r="77" spans="2:24" ht="12.75">
      <c r="B77" s="144" t="s">
        <v>431</v>
      </c>
      <c r="C77" s="305">
        <v>300000</v>
      </c>
      <c r="D77" s="305">
        <f>SUM(D78-D76)</f>
        <v>200000</v>
      </c>
      <c r="E77" s="305">
        <f>SUM(E78-E76)</f>
        <v>0</v>
      </c>
      <c r="F77" s="305">
        <f>SUM(F78-F76)</f>
        <v>0</v>
      </c>
      <c r="G77" s="305">
        <f>SUM(G78-G76)</f>
        <v>0</v>
      </c>
      <c r="H77" s="305">
        <f>SUM(H78-H76)</f>
        <v>0</v>
      </c>
      <c r="I77" s="305">
        <f>SUM(I78-I76)</f>
        <v>0</v>
      </c>
      <c r="J77" s="305">
        <f>SUM(J78-J76)</f>
        <v>0</v>
      </c>
      <c r="K77" s="305">
        <f>SUM(K78-K76)</f>
        <v>0</v>
      </c>
      <c r="L77" s="305">
        <f>SUM(L78-L76)</f>
        <v>0</v>
      </c>
      <c r="M77" s="305">
        <f>SUM(M78-M76)</f>
        <v>0</v>
      </c>
      <c r="N77" s="305">
        <f>SUM(N78-N76)</f>
        <v>0</v>
      </c>
      <c r="O77" s="305">
        <f>SUM(O78-O76)</f>
        <v>0</v>
      </c>
      <c r="P77" s="305">
        <f>SUM(P78-P76)</f>
        <v>0</v>
      </c>
      <c r="Q77" s="305">
        <f>SUM(Q78-Q76)</f>
        <v>0</v>
      </c>
      <c r="R77" s="305">
        <f>SUM(R78-R76)</f>
        <v>0</v>
      </c>
      <c r="S77" s="305">
        <f>SUM(S78-S76)</f>
        <v>0</v>
      </c>
      <c r="T77" s="305">
        <f>SUM(T78-T76)</f>
        <v>0</v>
      </c>
      <c r="U77" s="305">
        <f>SUM(U78-U76)</f>
        <v>0</v>
      </c>
      <c r="V77" s="305">
        <f>SUM(V78-V76)</f>
        <v>0</v>
      </c>
      <c r="W77" s="305">
        <f>SUM(W78-W76)</f>
        <v>0</v>
      </c>
      <c r="X77" s="305">
        <f>SUM(X78-X76)</f>
        <v>0</v>
      </c>
    </row>
    <row r="78" spans="2:24" ht="24.75">
      <c r="B78" s="294" t="s">
        <v>432</v>
      </c>
      <c r="C78" s="303" t="e">
        <f>zał1!#REF!</f>
        <v>#REF!</v>
      </c>
      <c r="D78" s="303">
        <f>zał1!G23</f>
        <v>2400000</v>
      </c>
      <c r="E78" s="303">
        <f>zał1!H23</f>
        <v>2146338.07593</v>
      </c>
      <c r="F78" s="303">
        <f>zał1!I23</f>
        <v>1795048.5018600002</v>
      </c>
      <c r="G78" s="303">
        <f>zał1!J23</f>
        <v>1587870.7677900002</v>
      </c>
      <c r="H78" s="303">
        <f>zał1!K23</f>
        <v>1380693.0337200004</v>
      </c>
      <c r="I78" s="303">
        <f>zał1!L23</f>
        <v>1173515.2996500004</v>
      </c>
      <c r="J78" s="303">
        <f>zał1!M23</f>
        <v>966337.5655800004</v>
      </c>
      <c r="K78" s="303">
        <f>zał1!N23</f>
        <v>759159.2915100005</v>
      </c>
      <c r="L78" s="303">
        <f>zał1!O23</f>
        <v>612878.2040400004</v>
      </c>
      <c r="M78" s="303">
        <f>zał1!P23</f>
        <v>559445.8403700005</v>
      </c>
      <c r="N78" s="303">
        <f>zał1!Q23</f>
        <v>506013.47670000046</v>
      </c>
      <c r="O78" s="303">
        <f>zał1!R23</f>
        <v>452581.1130300004</v>
      </c>
      <c r="P78" s="303">
        <f>zał1!S23</f>
        <v>399148.7493600004</v>
      </c>
      <c r="Q78" s="303">
        <f>zał1!T23</f>
        <v>345716.3856900004</v>
      </c>
      <c r="R78" s="303">
        <f>zał1!U23</f>
        <v>292284.0220200004</v>
      </c>
      <c r="S78" s="303">
        <f>zał1!V23</f>
        <v>238851.65835000036</v>
      </c>
      <c r="T78" s="303">
        <f>zał1!W23</f>
        <v>185419.29468000037</v>
      </c>
      <c r="U78" s="303">
        <f>zał1!X23</f>
        <v>131986.93101000038</v>
      </c>
      <c r="V78" s="303">
        <f>zał1!Y23</f>
        <v>78554.56734000039</v>
      </c>
      <c r="W78" s="303">
        <f>zał1!Z23</f>
        <v>25121.48367000038</v>
      </c>
      <c r="X78" s="303">
        <f>zał1!AA23</f>
        <v>0</v>
      </c>
    </row>
  </sheetData>
  <sheetProtection selectLockedCells="1" selectUnlockedCells="1"/>
  <mergeCells count="3">
    <mergeCell ref="C2:D2"/>
    <mergeCell ref="E2:F2"/>
    <mergeCell ref="B3:W3"/>
  </mergeCells>
  <printOptions/>
  <pageMargins left="0.2361111111111111" right="0.2361111111111111" top="0.7875" bottom="0.7875" header="0.5118055555555555" footer="0.5118055555555555"/>
  <pageSetup horizontalDpi="300" verticalDpi="300" orientation="landscape" paperSize="8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18740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Komocki</dc:creator>
  <cp:keywords/>
  <dc:description/>
  <cp:lastModifiedBy>Piotr Komocki</cp:lastModifiedBy>
  <cp:lastPrinted>2012-06-26T11:31:32Z</cp:lastPrinted>
  <dcterms:created xsi:type="dcterms:W3CDTF">2010-07-08T12:34:26Z</dcterms:created>
  <dcterms:modified xsi:type="dcterms:W3CDTF">2012-06-26T11:34:02Z</dcterms:modified>
  <cp:category/>
  <cp:version/>
  <cp:contentType/>
  <cp:contentStatus/>
  <cp:revision>137</cp:revision>
</cp:coreProperties>
</file>