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1" activeTab="4"/>
  </bookViews>
  <sheets>
    <sheet name="zał1" sheetId="1" r:id="rId1"/>
    <sheet name="zał2" sheetId="2" r:id="rId2"/>
    <sheet name="zał3" sheetId="3" r:id="rId3"/>
    <sheet name="Uchwała " sheetId="4" r:id="rId4"/>
    <sheet name="Ogółem Zmiany w paragrafach " sheetId="5" r:id="rId5"/>
  </sheets>
  <definedNames>
    <definedName name="_xlnm.Print_Area" localSheetId="4">'Ogółem Zmiany w paragrafach '!$A$1:$K$80</definedName>
    <definedName name="_xlnm.Print_Area" localSheetId="3">'Uchwała '!$A$1:$G$34</definedName>
    <definedName name="_xlnm.Print_Area" localSheetId="0">'zał1'!$A$1:$AB$45</definedName>
    <definedName name="_xlnm.Print_Area" localSheetId="1">'zał2'!$A$1:$Z$57</definedName>
    <definedName name="_xlnm.Print_Area" localSheetId="2">'zał3'!$A$1:$L$86</definedName>
    <definedName name="Excel_BuiltIn_Print_Area_1_1">'zał1'!$A$1:$AA$45</definedName>
    <definedName name="Excel_BuiltIn_Print_Area_6_1">'Ogółem Zmiany w paragrafach '!$A$1:$J$80</definedName>
    <definedName name="Excel_BuiltIn_Print_Area_1_1_1">'zał1'!$A$1:$AA$43</definedName>
    <definedName name="Excel_BuiltIn_Print_Area_2_1">'zał2'!$A$1:$Z$54</definedName>
    <definedName name="Excel_BuiltIn_Print_Area_1_1_1_1">'zał1'!$A$1:$AA$44</definedName>
  </definedNames>
  <calcPr fullCalcOnLoad="1"/>
</workbook>
</file>

<file path=xl/sharedStrings.xml><?xml version="1.0" encoding="utf-8"?>
<sst xmlns="http://schemas.openxmlformats.org/spreadsheetml/2006/main" count="342" uniqueCount="253">
  <si>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</si>
  <si>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</si>
  <si>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</si>
  <si>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</si>
  <si>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</si>
  <si>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Plan na 31.12.2011 r.
dane z III kw</t>
  </si>
  <si>
    <t>Przewidywane wykonanie na  31.12.2011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</si>
  <si>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</si>
  <si>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</si>
  <si>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</si>
  <si>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</si>
  <si>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</si>
  <si>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</si>
  <si>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</si>
  <si>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</si>
  <si>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</si>
  <si>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</si>
  <si>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</si>
  <si>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</si>
  <si>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</si>
  <si>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</si>
  <si>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</si>
  <si>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</si>
  <si>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</si>
  <si>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</si>
  <si>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</si>
  <si>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</si>
  <si>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</si>
  <si>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</si>
  <si>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</si>
  <si>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</si>
  <si>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</si>
  <si>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</si>
  <si>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</si>
  <si>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</si>
  <si>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</si>
  <si>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</si>
  <si>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</si>
  <si>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</si>
  <si>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</si>
  <si>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</si>
  <si>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</si>
  <si>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</si>
  <si>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</si>
  <si>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TAK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</si>
  <si>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</si>
  <si>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</si>
  <si>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</si>
  <si>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</si>
  <si>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</si>
  <si>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</si>
  <si>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</si>
  <si>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</si>
  <si>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</si>
  <si>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</si>
  <si>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</si>
  <si>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</si>
  <si>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</si>
  <si>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</si>
  <si>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</si>
  <si>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</si>
  <si>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</si>
  <si>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</si>
  <si>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</si>
  <si>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</si>
  <si>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</si>
  <si>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</si>
  <si>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</si>
  <si>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</si>
  <si>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</si>
  <si>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</si>
  <si>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</si>
  <si>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</si>
  <si>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</si>
  <si>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</si>
  <si>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</si>
  <si>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</si>
  <si>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</si>
  <si>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</si>
  <si>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</si>
  <si>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</si>
  <si>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</si>
  <si>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</si>
  <si>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</si>
  <si>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</si>
  <si>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</si>
  <si>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</si>
  <si>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</si>
  <si>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</si>
  <si>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</si>
  <si>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</si>
  <si>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</si>
  <si>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</si>
  <si>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</si>
  <si>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</si>
  <si>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</si>
  <si>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</si>
  <si>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</si>
  <si>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</si>
  <si>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</si>
  <si>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</si>
  <si>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</si>
  <si>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</si>
  <si>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</si>
  <si>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</si>
  <si>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</si>
  <si>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</si>
  <si>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</si>
  <si>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</si>
  <si>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</si>
  <si>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</si>
  <si>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</si>
  <si>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</si>
  <si>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</si>
  <si>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</si>
  <si>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</si>
  <si>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</si>
  <si>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</si>
  <si>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</si>
  <si>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</si>
  <si>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</si>
  <si>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</si>
  <si>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</si>
  <si>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</si>
  <si>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</si>
  <si>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</si>
  <si>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</si>
  <si>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</si>
  <si>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</si>
  <si>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</si>
  <si>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</si>
  <si>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</si>
  <si>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</si>
  <si>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</si>
  <si>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</si>
  <si>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</si>
  <si>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</si>
  <si>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</si>
  <si>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</si>
  <si>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</si>
  <si>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</si>
  <si>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</si>
  <si>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</si>
  <si>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</si>
  <si>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</si>
  <si>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</si>
  <si>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</si>
  <si>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</si>
  <si>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</si>
  <si>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>Do Uchwały XVIII/110/2012
Rady Miejskiej w Gołdapi
z dnia 28 lutego 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</si>
  <si>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</si>
  <si>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</si>
  <si>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</si>
  <si>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</si>
  <si>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</si>
  <si>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</si>
  <si>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</si>
  <si>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</si>
  <si>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</si>
  <si>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</si>
  <si>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</si>
  <si>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</si>
  <si>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</si>
  <si>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</si>
  <si>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</si>
  <si>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</si>
  <si>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</si>
  <si>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</si>
  <si>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</si>
  <si>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</si>
  <si>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</si>
  <si>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</si>
  <si>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Rekultywacja jeziora Gołdap
</t>
    </r>
    <r>
      <rPr>
        <sz val="11"/>
        <color indexed="8"/>
        <rFont val="Arial"/>
        <family val="2"/>
      </rPr>
      <t>Cel:
Odbudowa zdegradowanego ekosystemu, poprawa stanu wód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</si>
  <si>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</si>
  <si>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</si>
  <si>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</si>
  <si>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</si>
  <si>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</si>
  <si>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</si>
  <si>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</si>
  <si>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</si>
  <si>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</si>
  <si>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</si>
  <si>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</si>
  <si>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</si>
  <si>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</si>
  <si>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</si>
  <si>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r>
      <t xml:space="preserve">Program nr 3 Kanalizacja burzowa ul. Kościuszki, Kombatantów i Źródlana
</t>
    </r>
    <r>
      <rPr>
        <sz val="11"/>
        <color indexed="8"/>
        <rFont val="Arial"/>
        <family val="2"/>
      </rPr>
      <t xml:space="preserve">Cel: 
Ochrona przeciwpowodziowa 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</si>
  <si>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</si>
  <si>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</si>
  <si>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</si>
  <si>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t>Uchwała Nr XVIII/110/2012</t>
  </si>
  <si>
    <t>Rady Miejskiej w Gołdapi</t>
  </si>
  <si>
    <t>z dnia 28 lutego 2012 r.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</si>
  <si>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</si>
  <si>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</si>
  <si>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</si>
  <si>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</si>
  <si>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</si>
  <si>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</si>
  <si>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</si>
  <si>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</si>
  <si>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</si>
  <si>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</si>
  <si>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</si>
  <si>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</si>
  <si>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</si>
  <si>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</si>
  <si>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</si>
  <si>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</si>
  <si>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</si>
  <si>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</si>
  <si>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</si>
  <si>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</si>
  <si>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</si>
  <si>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</si>
  <si>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 xml:space="preserve">  Zmiany do Uchwały.............................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</si>
  <si>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</si>
  <si>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</si>
  <si>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</si>
  <si>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</si>
  <si>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</si>
  <si>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</si>
  <si>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</si>
  <si>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</si>
  <si>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</si>
  <si>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</si>
  <si>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02095</t>
  </si>
  <si>
    <t>0960</t>
  </si>
  <si>
    <t>75406</t>
  </si>
  <si>
    <t>0920</t>
  </si>
  <si>
    <t>0980</t>
  </si>
  <si>
    <t>ZS Grabowo</t>
  </si>
  <si>
    <t>80103</t>
  </si>
  <si>
    <t>SUMA</t>
  </si>
  <si>
    <t>PER SALDO</t>
  </si>
  <si>
    <t>do WPF</t>
  </si>
  <si>
    <t>Zmiana deficytu(+,-)</t>
  </si>
  <si>
    <t>Załączniki:</t>
  </si>
  <si>
    <t>Wynagrodzenia i poch.</t>
  </si>
  <si>
    <t>1) dochody</t>
  </si>
  <si>
    <r>
      <t>do WPF</t>
    </r>
    <r>
      <rPr>
        <sz val="10"/>
        <rFont val="Arial"/>
        <family val="2"/>
      </rPr>
      <t xml:space="preserve"> per saldo</t>
    </r>
  </si>
  <si>
    <t xml:space="preserve">2) wydatki </t>
  </si>
  <si>
    <t>§ 401, 411,412</t>
  </si>
  <si>
    <t>Na funkcjonowanie jst</t>
  </si>
  <si>
    <t>Rozdz. 75022-23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</si>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</sst>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"/>
    <numFmt numFmtId="167" formatCode="0.00%"/>
    <numFmt numFmtId="168" formatCode="#,##0.0000"/>
    <numFmt numFmtId="169" formatCode="#,##0.00;[RED]\-#,##0.00"/>
    <numFmt numFmtId="170" formatCode="#,###.00"/>
    <numFmt numFmtId="171" formatCode="#,##0;[RED]\-#,##0"/>
    <numFmt numFmtId="172" formatCode="#,##0.00\ [$zł-415];[RED]\-#,##0.00\ [$zł-415]"/>
    <numFmt numFmtId="173" formatCode="@"/>
  </numFmts>
  <fonts count="39">
    <font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0"/>
      <name val="Times New Roman"/>
      <family val="1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6" fontId="0" fillId="4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 vertical="center"/>
    </xf>
    <xf numFmtId="165" fontId="0" fillId="4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4" borderId="1" xfId="0" applyNumberFormat="1" applyFont="1" applyFill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8" fontId="0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9" fontId="3" fillId="0" borderId="1" xfId="0" applyNumberFormat="1" applyFont="1" applyBorder="1" applyAlignment="1">
      <alignment vertical="center"/>
    </xf>
    <xf numFmtId="169" fontId="3" fillId="4" borderId="1" xfId="0" applyNumberFormat="1" applyFont="1" applyFill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9" fontId="6" fillId="0" borderId="1" xfId="0" applyNumberFormat="1" applyFont="1" applyBorder="1" applyAlignment="1">
      <alignment vertical="center"/>
    </xf>
    <xf numFmtId="169" fontId="6" fillId="4" borderId="1" xfId="0" applyNumberFormat="1" applyFont="1" applyFill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70" fontId="0" fillId="0" borderId="0" xfId="0" applyNumberFormat="1" applyFill="1" applyAlignment="1" applyProtection="1">
      <alignment/>
      <protection hidden="1"/>
    </xf>
    <xf numFmtId="170" fontId="0" fillId="2" borderId="0" xfId="0" applyNumberFormat="1" applyFill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70" fontId="0" fillId="0" borderId="0" xfId="0" applyNumberFormat="1" applyAlignment="1">
      <alignment/>
    </xf>
    <xf numFmtId="170" fontId="0" fillId="2" borderId="0" xfId="0" applyNumberFormat="1" applyFill="1" applyBorder="1" applyAlignment="1" applyProtection="1">
      <alignment vertical="center"/>
      <protection hidden="1"/>
    </xf>
    <xf numFmtId="170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70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9" fontId="3" fillId="0" borderId="1" xfId="0" applyNumberFormat="1" applyFont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9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9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1" fontId="0" fillId="0" borderId="1" xfId="0" applyNumberFormat="1" applyFill="1" applyBorder="1" applyAlignment="1" applyProtection="1">
      <alignment vertical="center"/>
      <protection locked="0"/>
    </xf>
    <xf numFmtId="169" fontId="0" fillId="2" borderId="1" xfId="0" applyNumberFormat="1" applyFill="1" applyBorder="1" applyAlignment="1" applyProtection="1">
      <alignment vertical="center" wrapText="1"/>
      <protection locked="0"/>
    </xf>
    <xf numFmtId="169" fontId="0" fillId="0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9" fontId="3" fillId="0" borderId="1" xfId="0" applyNumberFormat="1" applyFont="1" applyFill="1" applyBorder="1" applyAlignment="1" applyProtection="1">
      <alignment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9" fontId="3" fillId="0" borderId="1" xfId="0" applyNumberFormat="1" applyFont="1" applyFill="1" applyBorder="1" applyAlignment="1" applyProtection="1">
      <alignment vertical="center"/>
      <protection/>
    </xf>
    <xf numFmtId="169" fontId="0" fillId="2" borderId="1" xfId="0" applyNumberFormat="1" applyFill="1" applyBorder="1" applyAlignment="1" applyProtection="1">
      <alignment vertical="center"/>
      <protection/>
    </xf>
    <xf numFmtId="169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1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5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2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 horizontal="left" wrapText="1"/>
    </xf>
    <xf numFmtId="164" fontId="14" fillId="0" borderId="0" xfId="0" applyFont="1" applyBorder="1" applyAlignment="1">
      <alignment horizontal="left"/>
    </xf>
    <xf numFmtId="164" fontId="15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20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2" fillId="0" borderId="1" xfId="0" applyNumberFormat="1" applyFont="1" applyBorder="1" applyAlignment="1">
      <alignment/>
    </xf>
    <xf numFmtId="164" fontId="23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25" fillId="0" borderId="1" xfId="0" applyFon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26" fillId="0" borderId="1" xfId="0" applyFont="1" applyBorder="1" applyAlignment="1">
      <alignment horizontal="left"/>
    </xf>
    <xf numFmtId="164" fontId="25" fillId="0" borderId="1" xfId="0" applyFont="1" applyBorder="1" applyAlignment="1">
      <alignment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/>
    </xf>
    <xf numFmtId="164" fontId="28" fillId="2" borderId="1" xfId="0" applyFont="1" applyFill="1" applyBorder="1" applyAlignment="1">
      <alignment/>
    </xf>
    <xf numFmtId="166" fontId="29" fillId="0" borderId="1" xfId="0" applyNumberFormat="1" applyFont="1" applyBorder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/>
    </xf>
    <xf numFmtId="164" fontId="30" fillId="0" borderId="1" xfId="0" applyFont="1" applyBorder="1" applyAlignment="1">
      <alignment/>
    </xf>
    <xf numFmtId="166" fontId="31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5" fillId="0" borderId="1" xfId="0" applyFont="1" applyBorder="1" applyAlignment="1">
      <alignment horizontal="left" vertical="top" wrapText="1"/>
    </xf>
    <xf numFmtId="164" fontId="30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30" fillId="0" borderId="1" xfId="0" applyFont="1" applyBorder="1" applyAlignment="1">
      <alignment horizontal="left" wrapText="1"/>
    </xf>
    <xf numFmtId="164" fontId="24" fillId="0" borderId="1" xfId="0" applyFont="1" applyBorder="1" applyAlignment="1">
      <alignment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2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4" fillId="0" borderId="0" xfId="0" applyFont="1" applyBorder="1" applyAlignment="1">
      <alignment/>
    </xf>
    <xf numFmtId="164" fontId="32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35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64" fontId="0" fillId="2" borderId="1" xfId="0" applyFont="1" applyFill="1" applyBorder="1" applyAlignment="1">
      <alignment/>
    </xf>
    <xf numFmtId="173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73" fontId="0" fillId="2" borderId="1" xfId="0" applyNumberFormat="1" applyFont="1" applyFill="1" applyBorder="1" applyAlignment="1">
      <alignment horizontal="right"/>
    </xf>
    <xf numFmtId="173" fontId="0" fillId="5" borderId="1" xfId="0" applyNumberFormat="1" applyFont="1" applyFill="1" applyBorder="1" applyAlignment="1">
      <alignment horizontal="right"/>
    </xf>
    <xf numFmtId="164" fontId="0" fillId="6" borderId="1" xfId="0" applyFont="1" applyFill="1" applyBorder="1" applyAlignment="1">
      <alignment/>
    </xf>
    <xf numFmtId="173" fontId="0" fillId="6" borderId="1" xfId="0" applyNumberFormat="1" applyFont="1" applyFill="1" applyBorder="1" applyAlignment="1">
      <alignment horizontal="right"/>
    </xf>
    <xf numFmtId="166" fontId="0" fillId="6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6" fontId="0" fillId="2" borderId="1" xfId="0" applyNumberFormat="1" applyFill="1" applyBorder="1" applyAlignment="1">
      <alignment/>
    </xf>
    <xf numFmtId="173" fontId="37" fillId="2" borderId="1" xfId="0" applyNumberFormat="1" applyFont="1" applyFill="1" applyBorder="1" applyAlignment="1">
      <alignment/>
    </xf>
    <xf numFmtId="166" fontId="37" fillId="2" borderId="1" xfId="0" applyNumberFormat="1" applyFont="1" applyFill="1" applyBorder="1" applyAlignment="1">
      <alignment/>
    </xf>
    <xf numFmtId="173" fontId="0" fillId="2" borderId="1" xfId="0" applyNumberFormat="1" applyFont="1" applyFill="1" applyBorder="1" applyAlignment="1">
      <alignment horizontal="center"/>
    </xf>
    <xf numFmtId="173" fontId="0" fillId="2" borderId="1" xfId="0" applyNumberFormat="1" applyFill="1" applyBorder="1" applyAlignment="1">
      <alignment/>
    </xf>
    <xf numFmtId="173" fontId="0" fillId="2" borderId="1" xfId="0" applyNumberFormat="1" applyFill="1" applyBorder="1" applyAlignment="1">
      <alignment horizontal="right"/>
    </xf>
    <xf numFmtId="164" fontId="38" fillId="0" borderId="2" xfId="0" applyFont="1" applyBorder="1" applyAlignment="1">
      <alignment/>
    </xf>
    <xf numFmtId="164" fontId="38" fillId="0" borderId="2" xfId="0" applyFont="1" applyFill="1" applyBorder="1" applyAlignment="1">
      <alignment/>
    </xf>
    <xf numFmtId="166" fontId="38" fillId="0" borderId="2" xfId="0" applyNumberFormat="1" applyFont="1" applyFill="1" applyBorder="1" applyAlignment="1">
      <alignment/>
    </xf>
    <xf numFmtId="164" fontId="38" fillId="2" borderId="2" xfId="0" applyFont="1" applyFill="1" applyBorder="1" applyAlignment="1">
      <alignment/>
    </xf>
    <xf numFmtId="164" fontId="38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9" fontId="38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9" fontId="9" fillId="0" borderId="1" xfId="0" applyNumberFormat="1" applyFont="1" applyBorder="1" applyAlignment="1">
      <alignment/>
    </xf>
    <xf numFmtId="164" fontId="0" fillId="5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70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7" borderId="1" xfId="0" applyFont="1" applyFill="1" applyBorder="1" applyAlignment="1">
      <alignment/>
    </xf>
    <xf numFmtId="169" fontId="9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9" fontId="0" fillId="2" borderId="1" xfId="0" applyNumberFormat="1" applyFill="1" applyBorder="1" applyAlignment="1">
      <alignment/>
    </xf>
    <xf numFmtId="164" fontId="3" fillId="7" borderId="0" xfId="0" applyFont="1" applyFill="1" applyBorder="1" applyAlignment="1">
      <alignment horizontal="right" wrapText="1"/>
    </xf>
    <xf numFmtId="169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9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9" fontId="0" fillId="0" borderId="1" xfId="0" applyNumberFormat="1" applyBorder="1" applyAlignment="1">
      <alignment horizontal="center"/>
    </xf>
    <xf numFmtId="164" fontId="3" fillId="7" borderId="1" xfId="0" applyFont="1" applyFill="1" applyBorder="1" applyAlignment="1">
      <alignment horizontal="right" wrapText="1"/>
    </xf>
    <xf numFmtId="166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workbookViewId="0" topLeftCell="A28">
      <selection activeCell="J19" sqref="J19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4" width="14.00390625" style="0" customWidth="1"/>
    <col min="25" max="28" width="15.00390625" style="0" customWidth="1"/>
    <col min="29" max="16384" width="11.57421875" style="0" customWidth="1"/>
  </cols>
  <sheetData>
    <row r="1" spans="2:28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 t="s">
        <v>1</v>
      </c>
      <c r="AB1" s="4"/>
    </row>
    <row r="2" spans="6:28" ht="37.5" customHeight="1">
      <c r="F2" s="5"/>
      <c r="G2" s="5"/>
      <c r="AA2" s="6" t="str">
        <f>zał3!J2</f>
        <v>Do Uchwały XVIII/110/2012
Rady Miejskiej w Gołdapi
z dnia 28 lutego  2012r.</v>
      </c>
      <c r="AB2" s="6"/>
    </row>
    <row r="3" spans="1:28" ht="12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7"/>
      <c r="B4" s="7"/>
      <c r="C4" s="8">
        <v>2008</v>
      </c>
      <c r="D4" s="8">
        <v>2009</v>
      </c>
      <c r="E4" s="8">
        <v>2010</v>
      </c>
      <c r="F4" s="9" t="s">
        <v>5</v>
      </c>
      <c r="G4" s="9" t="s">
        <v>6</v>
      </c>
      <c r="H4" s="10">
        <v>2012</v>
      </c>
      <c r="I4" s="8">
        <v>2013</v>
      </c>
      <c r="J4" s="8">
        <v>2014</v>
      </c>
      <c r="K4" s="8">
        <v>2015</v>
      </c>
      <c r="L4" s="8">
        <v>2016</v>
      </c>
      <c r="M4" s="8">
        <v>2017</v>
      </c>
      <c r="N4" s="8">
        <v>2018</v>
      </c>
      <c r="O4" s="8">
        <v>2019</v>
      </c>
      <c r="P4" s="8">
        <v>2020</v>
      </c>
      <c r="Q4" s="8">
        <v>2021</v>
      </c>
      <c r="R4" s="8">
        <v>2022</v>
      </c>
      <c r="S4" s="8">
        <v>2023</v>
      </c>
      <c r="T4" s="8">
        <v>2024</v>
      </c>
      <c r="U4" s="8">
        <v>2025</v>
      </c>
      <c r="V4" s="8">
        <v>2026</v>
      </c>
      <c r="W4" s="8">
        <v>2027</v>
      </c>
      <c r="X4" s="8">
        <v>2028</v>
      </c>
      <c r="Y4" s="8">
        <v>2029</v>
      </c>
      <c r="Z4" s="8">
        <v>2030</v>
      </c>
      <c r="AA4" s="8">
        <v>2031</v>
      </c>
      <c r="AB4" s="8">
        <v>2032</v>
      </c>
    </row>
    <row r="5" spans="1:28" ht="12.75">
      <c r="A5" s="11">
        <v>1</v>
      </c>
      <c r="B5" s="12" t="s">
        <v>7</v>
      </c>
      <c r="C5" s="13">
        <f>SUM(C6:C7)</f>
        <v>56602913</v>
      </c>
      <c r="D5" s="13">
        <f>SUM(D6:D7)</f>
        <v>65638462</v>
      </c>
      <c r="E5" s="13">
        <f>SUM(E6:E7)</f>
        <v>76066696.03</v>
      </c>
      <c r="F5" s="14">
        <v>87758215.85</v>
      </c>
      <c r="G5" s="14">
        <v>89107067.15</v>
      </c>
      <c r="H5" s="13">
        <f>SUM(H6:H7)</f>
        <v>80166205</v>
      </c>
      <c r="I5" s="13">
        <f>SUM(I6:I7)</f>
        <v>67479188.951</v>
      </c>
      <c r="J5" s="13">
        <f>SUM(J6:J7)</f>
        <v>64818682.604481</v>
      </c>
      <c r="K5" s="13">
        <f>SUM(K6:K7)</f>
        <v>66824421.08121991</v>
      </c>
      <c r="L5" s="13">
        <f>SUM(L6:L7)</f>
        <v>68892228.23021773</v>
      </c>
      <c r="M5" s="13">
        <f>SUM(M6:M7)</f>
        <v>71024024.90369888</v>
      </c>
      <c r="N5" s="13">
        <f>SUM(N6:N7)</f>
        <v>73221791.40200827</v>
      </c>
      <c r="O5" s="13">
        <f>SUM(O6:O7)</f>
        <v>75487569.31355411</v>
      </c>
      <c r="P5" s="13">
        <f>SUM(P6:P7)</f>
        <v>77823463.41170037</v>
      </c>
      <c r="Q5" s="13">
        <f>SUM(Q6:Q7)</f>
        <v>80231643.61037195</v>
      </c>
      <c r="R5" s="13">
        <f>SUM(R6:R7)</f>
        <v>82714346.9801896</v>
      </c>
      <c r="S5" s="13">
        <f>SUM(S6:S7)</f>
        <v>85273879.8270085</v>
      </c>
      <c r="T5" s="13">
        <f>SUM(T6:T7)</f>
        <v>87912619.83479176</v>
      </c>
      <c r="U5" s="13">
        <f>SUM(U6:U7)</f>
        <v>90633018.2748107</v>
      </c>
      <c r="V5" s="13">
        <f>SUM(V6:V7)</f>
        <v>93437602.28322443</v>
      </c>
      <c r="W5" s="13">
        <f>SUM(W6:W7)</f>
        <v>96328977.20915583</v>
      </c>
      <c r="X5" s="13">
        <f>SUM(X6:X7)</f>
        <v>99309829.03544563</v>
      </c>
      <c r="Y5" s="13">
        <f>SUM(Y6:Y7)</f>
        <v>102382926.87433459</v>
      </c>
      <c r="Z5" s="13">
        <f>SUM(Z6:Z7)</f>
        <v>105551125.54039282</v>
      </c>
      <c r="AA5" s="13">
        <f>SUM(AA6:AA7)</f>
        <v>108817368.20308748</v>
      </c>
      <c r="AB5" s="13">
        <f>SUM(AB6:AB7)</f>
        <v>112184689.12145394</v>
      </c>
    </row>
    <row r="6" spans="1:28" ht="12.75">
      <c r="A6" s="15" t="s">
        <v>8</v>
      </c>
      <c r="B6" s="16" t="s">
        <v>9</v>
      </c>
      <c r="C6" s="17">
        <v>48236781</v>
      </c>
      <c r="D6" s="17">
        <v>54877794</v>
      </c>
      <c r="E6" s="18">
        <f>zał2!D6</f>
        <v>59404315.82</v>
      </c>
      <c r="F6" s="14">
        <v>61044930.85</v>
      </c>
      <c r="G6" s="14">
        <v>62393782.15</v>
      </c>
      <c r="H6" s="18">
        <f>zał2!F6</f>
        <v>57554321</v>
      </c>
      <c r="I6" s="18">
        <f>zał2!G6</f>
        <v>59338504.951</v>
      </c>
      <c r="J6" s="18">
        <f>zał2!H6</f>
        <v>61177998.604481</v>
      </c>
      <c r="K6" s="18">
        <f>zał2!I6</f>
        <v>63074516.56121991</v>
      </c>
      <c r="L6" s="18">
        <f>zał2!J6</f>
        <v>65029826.57461773</v>
      </c>
      <c r="M6" s="18">
        <f>zał2!K6</f>
        <v>67045751.19843088</v>
      </c>
      <c r="N6" s="18">
        <f>zał2!L6</f>
        <v>69124169.48558223</v>
      </c>
      <c r="O6" s="18">
        <f>zał2!M6</f>
        <v>71267018.73963529</v>
      </c>
      <c r="P6" s="18">
        <f>zał2!N6</f>
        <v>73476296.32056399</v>
      </c>
      <c r="Q6" s="18">
        <f>zał2!O6</f>
        <v>75754061.50650147</v>
      </c>
      <c r="R6" s="18">
        <f>zał2!P6</f>
        <v>78102437.41320302</v>
      </c>
      <c r="S6" s="18">
        <f>zał2!Q6</f>
        <v>80523612.97301231</v>
      </c>
      <c r="T6" s="18">
        <f>zał2!R6</f>
        <v>83019844.9751757</v>
      </c>
      <c r="U6" s="18">
        <f>zał2!S6</f>
        <v>85593460.16940615</v>
      </c>
      <c r="V6" s="18">
        <f>zał2!T6</f>
        <v>88246857.43465774</v>
      </c>
      <c r="W6" s="18">
        <f>zał2!U6</f>
        <v>90982510.01513213</v>
      </c>
      <c r="X6" s="18">
        <f>zał2!V6</f>
        <v>93802967.82560122</v>
      </c>
      <c r="Y6" s="18">
        <f>zał2!W6</f>
        <v>96710859.82819486</v>
      </c>
      <c r="Z6" s="18">
        <f>zał2!X6</f>
        <v>99708896.4828689</v>
      </c>
      <c r="AA6" s="18">
        <f>zał2!Y6</f>
        <v>102799872.27383783</v>
      </c>
      <c r="AB6" s="18">
        <f>zał2!Z6</f>
        <v>105986668.31432681</v>
      </c>
    </row>
    <row r="7" spans="1:28" ht="12.75">
      <c r="A7" s="15" t="s">
        <v>10</v>
      </c>
      <c r="B7" s="16" t="s">
        <v>11</v>
      </c>
      <c r="C7" s="17">
        <v>8366132</v>
      </c>
      <c r="D7" s="17">
        <v>10760668</v>
      </c>
      <c r="E7" s="18">
        <f>zał2!D7</f>
        <v>16662380.21</v>
      </c>
      <c r="F7" s="14">
        <v>26713285</v>
      </c>
      <c r="G7" s="14">
        <v>26713285</v>
      </c>
      <c r="H7" s="18">
        <f>zał2!F7</f>
        <v>22611884</v>
      </c>
      <c r="I7" s="18">
        <f>zał2!G7</f>
        <v>8140684</v>
      </c>
      <c r="J7" s="18">
        <f>zał2!H7</f>
        <v>3640684</v>
      </c>
      <c r="K7" s="18">
        <f>zał2!I7</f>
        <v>3749904.52</v>
      </c>
      <c r="L7" s="18">
        <f>zał2!J7</f>
        <v>3862401.6556</v>
      </c>
      <c r="M7" s="18">
        <f>zał2!K7</f>
        <v>3978273.7052680003</v>
      </c>
      <c r="N7" s="18">
        <f>zał2!L7</f>
        <v>4097621.91642604</v>
      </c>
      <c r="O7" s="18">
        <f>zał2!M7</f>
        <v>4220550.573918821</v>
      </c>
      <c r="P7" s="18">
        <f>zał2!N7</f>
        <v>4347167.091136386</v>
      </c>
      <c r="Q7" s="18">
        <f>zał2!O7</f>
        <v>4477582.1038704775</v>
      </c>
      <c r="R7" s="18">
        <f>zał2!P7</f>
        <v>4611909.566986592</v>
      </c>
      <c r="S7" s="18">
        <f>zał2!Q7</f>
        <v>4750266.853996189</v>
      </c>
      <c r="T7" s="18">
        <f>zał2!R7</f>
        <v>4892774.859616075</v>
      </c>
      <c r="U7" s="18">
        <f>zał2!S7</f>
        <v>5039558.105404557</v>
      </c>
      <c r="V7" s="18">
        <f>zał2!T7</f>
        <v>5190744.848566693</v>
      </c>
      <c r="W7" s="18">
        <f>zał2!U7</f>
        <v>5346467.194023694</v>
      </c>
      <c r="X7" s="18">
        <f>zał2!V7</f>
        <v>5506861.209844405</v>
      </c>
      <c r="Y7" s="18">
        <f>zał2!W7</f>
        <v>5672067.046139737</v>
      </c>
      <c r="Z7" s="18">
        <f>zał2!X7</f>
        <v>5842229.057523929</v>
      </c>
      <c r="AA7" s="18">
        <f>zał2!Y7</f>
        <v>6017495.929249646</v>
      </c>
      <c r="AB7" s="18">
        <f>zał2!Z7</f>
        <v>6198020.807127136</v>
      </c>
    </row>
    <row r="8" spans="1:28" ht="12.75">
      <c r="A8" s="15" t="s">
        <v>12</v>
      </c>
      <c r="B8" s="16" t="s">
        <v>13</v>
      </c>
      <c r="C8" s="17">
        <v>2943102</v>
      </c>
      <c r="D8" s="17">
        <v>1702924</v>
      </c>
      <c r="E8" s="18">
        <f>zał2!D8</f>
        <v>1908591.03</v>
      </c>
      <c r="F8" s="14">
        <v>1435000</v>
      </c>
      <c r="G8" s="14">
        <v>1435000</v>
      </c>
      <c r="H8" s="18">
        <f>zał2!F8</f>
        <v>4830000</v>
      </c>
      <c r="I8" s="18">
        <f>zał2!G8</f>
        <v>6000000</v>
      </c>
      <c r="J8" s="18">
        <f>zał2!H8</f>
        <v>1500000</v>
      </c>
      <c r="K8" s="18">
        <f>zał2!I8</f>
        <v>1545000</v>
      </c>
      <c r="L8" s="18">
        <f>zał2!J8</f>
        <v>1591350</v>
      </c>
      <c r="M8" s="18">
        <f>zał2!K8</f>
        <v>1639090.5</v>
      </c>
      <c r="N8" s="18">
        <f>zał2!L8</f>
        <v>1688263.215</v>
      </c>
      <c r="O8" s="18">
        <f>zał2!M8</f>
        <v>1738911.1114500002</v>
      </c>
      <c r="P8" s="18">
        <f>zał2!N8</f>
        <v>1791078.4447935002</v>
      </c>
      <c r="Q8" s="18">
        <f>zał2!O8</f>
        <v>1844810.7981373053</v>
      </c>
      <c r="R8" s="18">
        <f>zał2!P8</f>
        <v>1900155.1220814246</v>
      </c>
      <c r="S8" s="18">
        <f>zał2!Q8</f>
        <v>1957159.7757438673</v>
      </c>
      <c r="T8" s="18">
        <f>zał2!R8</f>
        <v>2015874.5690161833</v>
      </c>
      <c r="U8" s="18">
        <f>zał2!S8</f>
        <v>2076350.8060866687</v>
      </c>
      <c r="V8" s="18">
        <f>zał2!T8</f>
        <v>2138641.3302692687</v>
      </c>
      <c r="W8" s="18">
        <f>zał2!U8</f>
        <v>2202800.570177347</v>
      </c>
      <c r="X8" s="18">
        <f>zał2!V8</f>
        <v>2268884.5872826674</v>
      </c>
      <c r="Y8" s="18">
        <f>zał2!W8</f>
        <v>2336951.1249011476</v>
      </c>
      <c r="Z8" s="18">
        <f>zał2!X8</f>
        <v>2407059.658648182</v>
      </c>
      <c r="AA8" s="18">
        <f>zał2!Y8</f>
        <v>2479271.4484076276</v>
      </c>
      <c r="AB8" s="18">
        <f>zał2!Z8</f>
        <v>2553649.5918598566</v>
      </c>
    </row>
    <row r="9" spans="1:28" ht="12.75">
      <c r="A9" s="11">
        <v>2</v>
      </c>
      <c r="B9" s="19" t="s">
        <v>14</v>
      </c>
      <c r="C9" s="17">
        <v>45362971</v>
      </c>
      <c r="D9" s="17">
        <v>50589750</v>
      </c>
      <c r="E9" s="18">
        <f>E52</f>
        <v>53228203.61</v>
      </c>
      <c r="F9" s="14">
        <v>56128945.85</v>
      </c>
      <c r="G9" s="14">
        <v>57477797.15</v>
      </c>
      <c r="H9" s="18">
        <f>H52</f>
        <v>56443461</v>
      </c>
      <c r="I9" s="18">
        <f>I52</f>
        <v>48886961.92407</v>
      </c>
      <c r="J9" s="18">
        <f>J52</f>
        <v>50769250.49814</v>
      </c>
      <c r="K9" s="18">
        <f>K52</f>
        <v>52553357.20221</v>
      </c>
      <c r="L9" s="18">
        <f>L52</f>
        <v>54384771.77538</v>
      </c>
      <c r="M9" s="18">
        <f>M52</f>
        <v>56264913.453723006</v>
      </c>
      <c r="N9" s="18">
        <f>N52</f>
        <v>58195244.05039419</v>
      </c>
      <c r="O9" s="18">
        <f>O52</f>
        <v>60177269.77294342</v>
      </c>
      <c r="P9" s="18">
        <f>P52</f>
        <v>62151643.73234703</v>
      </c>
      <c r="Q9" s="18">
        <f>Q52</f>
        <v>64088011.75410864</v>
      </c>
      <c r="R9" s="18">
        <f>R52</f>
        <v>66080867.845612995</v>
      </c>
      <c r="S9" s="18">
        <f>S52</f>
        <v>68131906.64895238</v>
      </c>
      <c r="T9" s="18">
        <f>T52</f>
        <v>70242873.64548185</v>
      </c>
      <c r="U9" s="18">
        <f>U52</f>
        <v>72415566.6809971</v>
      </c>
      <c r="V9" s="18">
        <f>V52</f>
        <v>74651837.53666772</v>
      </c>
      <c r="W9" s="18">
        <f>W52</f>
        <v>76953593.54709834</v>
      </c>
      <c r="X9" s="18">
        <f>X52</f>
        <v>79322799.2669318</v>
      </c>
      <c r="Y9" s="18">
        <f>Y52</f>
        <v>81761478.18745016</v>
      </c>
      <c r="Z9" s="18">
        <f>Z52</f>
        <v>84271714.50467396</v>
      </c>
      <c r="AA9" s="18">
        <f>AA52</f>
        <v>86855655.66050439</v>
      </c>
      <c r="AB9" s="18">
        <f>AB52</f>
        <v>89487200.45849961</v>
      </c>
    </row>
    <row r="10" spans="1:28" ht="12.75">
      <c r="A10" s="15" t="s">
        <v>8</v>
      </c>
      <c r="B10" s="20" t="s">
        <v>15</v>
      </c>
      <c r="C10" s="17">
        <v>19066808</v>
      </c>
      <c r="D10" s="17">
        <v>21525882</v>
      </c>
      <c r="E10" s="21">
        <v>23164024.05</v>
      </c>
      <c r="F10" s="14">
        <v>25243894.28</v>
      </c>
      <c r="G10" s="14">
        <v>25249925.09</v>
      </c>
      <c r="H10" s="22">
        <f>25531313+722-3600</f>
        <v>25528435</v>
      </c>
      <c r="I10" s="18">
        <f>SUM(H10+0.03*H10)</f>
        <v>26294288.05</v>
      </c>
      <c r="J10" s="18">
        <f>SUM(I10+0.03*I10)</f>
        <v>27083116.6915</v>
      </c>
      <c r="K10" s="18">
        <f>SUM(J10+0.03*J10)</f>
        <v>27895610.192245</v>
      </c>
      <c r="L10" s="18">
        <f>SUM(K10+0.03*K10)</f>
        <v>28732478.49801235</v>
      </c>
      <c r="M10" s="18">
        <f>SUM(L10+0.03*L10)</f>
        <v>29594452.85295272</v>
      </c>
      <c r="N10" s="18">
        <f>SUM(M10+0.03*M10)</f>
        <v>30482286.4385413</v>
      </c>
      <c r="O10" s="18">
        <f>SUM(N10+0.03*N10)</f>
        <v>31396755.03169754</v>
      </c>
      <c r="P10" s="18">
        <f>SUM(O10+0.03*O10)</f>
        <v>32338657.68264847</v>
      </c>
      <c r="Q10" s="18">
        <f>SUM(P10+0.03*P10)</f>
        <v>33308817.41312792</v>
      </c>
      <c r="R10" s="18">
        <f>SUM(Q10+0.03*Q10)</f>
        <v>34308081.93552176</v>
      </c>
      <c r="S10" s="18">
        <f>SUM(R10+0.03*R10)</f>
        <v>35337324.39358741</v>
      </c>
      <c r="T10" s="18">
        <f>SUM(S10+0.03*S10)</f>
        <v>36397444.12539503</v>
      </c>
      <c r="U10" s="18">
        <f>SUM(T10+0.03*T10)</f>
        <v>37489367.44915688</v>
      </c>
      <c r="V10" s="18">
        <f>SUM(U10+0.03*U10)</f>
        <v>38614048.47263159</v>
      </c>
      <c r="W10" s="18">
        <f>SUM(V10+0.03*V10)</f>
        <v>39772469.92681053</v>
      </c>
      <c r="X10" s="18">
        <f>SUM(W10+0.03*W10)</f>
        <v>40965644.02461485</v>
      </c>
      <c r="Y10" s="18">
        <f>SUM(X10+0.03*X10)</f>
        <v>42194613.34535329</v>
      </c>
      <c r="Z10" s="18">
        <f>SUM(Y10+0.03*Y10)</f>
        <v>43460451.74571389</v>
      </c>
      <c r="AA10" s="18">
        <f>SUM(Z10+0.03*Z10)</f>
        <v>44764265.29808531</v>
      </c>
      <c r="AB10" s="18">
        <f>SUM(AA10+0.03*AA10)</f>
        <v>46107193.25702787</v>
      </c>
    </row>
    <row r="11" spans="1:28" ht="12.75">
      <c r="A11" s="15" t="s">
        <v>10</v>
      </c>
      <c r="B11" s="16" t="s">
        <v>16</v>
      </c>
      <c r="C11" s="17">
        <v>3797329</v>
      </c>
      <c r="D11" s="17">
        <v>4009351</v>
      </c>
      <c r="E11" s="21">
        <v>3909060.3</v>
      </c>
      <c r="F11" s="14">
        <v>4151000</v>
      </c>
      <c r="G11" s="14">
        <v>4151000</v>
      </c>
      <c r="H11" s="22">
        <v>4435000</v>
      </c>
      <c r="I11" s="18">
        <f>SUM(H11+0.03*H11)</f>
        <v>4568050</v>
      </c>
      <c r="J11" s="18">
        <f>SUM(I11+0.03*I11)</f>
        <v>4705091.5</v>
      </c>
      <c r="K11" s="18">
        <f>SUM(J11+0.03*J11)</f>
        <v>4846244.245</v>
      </c>
      <c r="L11" s="18">
        <f>SUM(K11+0.03*K11)</f>
        <v>4991631.57235</v>
      </c>
      <c r="M11" s="18">
        <f>SUM(L11+0.03*L11)</f>
        <v>5141380.5195205</v>
      </c>
      <c r="N11" s="18">
        <f>SUM(M11+0.03*M11)</f>
        <v>5295621.9351061145</v>
      </c>
      <c r="O11" s="18">
        <f>SUM(N11+0.03*N11)</f>
        <v>5454490.5931592975</v>
      </c>
      <c r="P11" s="18">
        <f>SUM(O11+0.03*O11)</f>
        <v>5618125.310954076</v>
      </c>
      <c r="Q11" s="18">
        <f>SUM(P11+0.03*P11)</f>
        <v>5786669.070282699</v>
      </c>
      <c r="R11" s="18">
        <f>SUM(Q11+0.03*Q11)</f>
        <v>5960269.14239118</v>
      </c>
      <c r="S11" s="18">
        <f>SUM(R11+0.03*R11)</f>
        <v>6139077.216662915</v>
      </c>
      <c r="T11" s="18">
        <f>SUM(S11+0.03*S11)</f>
        <v>6323249.533162802</v>
      </c>
      <c r="U11" s="18">
        <f>SUM(T11+0.03*T11)</f>
        <v>6512947.019157686</v>
      </c>
      <c r="V11" s="18">
        <f>SUM(U11+0.03*U11)</f>
        <v>6708335.429732417</v>
      </c>
      <c r="W11" s="18">
        <f>SUM(V11+0.03*V11)</f>
        <v>6909585.492624389</v>
      </c>
      <c r="X11" s="18">
        <f>SUM(W11+0.03*W11)</f>
        <v>7116873.057403121</v>
      </c>
      <c r="Y11" s="18">
        <f>SUM(X11+0.03*X11)</f>
        <v>7330379.249125214</v>
      </c>
      <c r="Z11" s="18">
        <f>SUM(Y11+0.03*Y11)</f>
        <v>7550290.626598971</v>
      </c>
      <c r="AA11" s="18">
        <f>SUM(Z11+0.03*Z11)</f>
        <v>7776799.34539694</v>
      </c>
      <c r="AB11" s="18">
        <f>SUM(AA11+0.03*AA11)</f>
        <v>8010103.325758847</v>
      </c>
    </row>
    <row r="12" spans="1:28" ht="12.75">
      <c r="A12" s="15" t="s">
        <v>12</v>
      </c>
      <c r="B12" s="20" t="s">
        <v>17</v>
      </c>
      <c r="C12" s="17">
        <v>62867</v>
      </c>
      <c r="D12" s="17">
        <v>90829</v>
      </c>
      <c r="E12" s="18">
        <f>zał2!D33</f>
        <v>480000</v>
      </c>
      <c r="F12" s="14">
        <v>348000</v>
      </c>
      <c r="G12" s="14">
        <v>348000</v>
      </c>
      <c r="H12" s="18">
        <f>zał2!F33</f>
        <v>192000</v>
      </c>
      <c r="I12" s="18">
        <f>zał2!G33</f>
        <v>0</v>
      </c>
      <c r="J12" s="18">
        <f>zał2!H33</f>
        <v>0</v>
      </c>
      <c r="K12" s="18">
        <f>zał2!I33</f>
        <v>0</v>
      </c>
      <c r="L12" s="18">
        <f>zał2!J33</f>
        <v>0</v>
      </c>
      <c r="M12" s="18">
        <f>zał2!K33</f>
        <v>0</v>
      </c>
      <c r="N12" s="18">
        <f>zał2!L33</f>
        <v>0</v>
      </c>
      <c r="O12" s="18">
        <f>zał2!M33</f>
        <v>0</v>
      </c>
      <c r="P12" s="18">
        <f>zał2!N33</f>
        <v>0</v>
      </c>
      <c r="Q12" s="18">
        <f>zał2!O33</f>
        <v>0</v>
      </c>
      <c r="R12" s="18">
        <f>zał2!P33</f>
        <v>0</v>
      </c>
      <c r="S12" s="18">
        <f>zał2!Q33</f>
        <v>0</v>
      </c>
      <c r="T12" s="18">
        <f>zał2!R33</f>
        <v>0</v>
      </c>
      <c r="U12" s="18">
        <f>zał2!S33</f>
        <v>0</v>
      </c>
      <c r="V12" s="18">
        <f>zał2!T33</f>
        <v>0</v>
      </c>
      <c r="W12" s="18">
        <f>zał2!U33</f>
        <v>0</v>
      </c>
      <c r="X12" s="18">
        <f>zał2!V33</f>
        <v>0</v>
      </c>
      <c r="Y12" s="18">
        <f>zał2!W33</f>
        <v>0</v>
      </c>
      <c r="Z12" s="18">
        <f>zał2!X33</f>
        <v>0</v>
      </c>
      <c r="AA12" s="18">
        <f>zał2!Y33</f>
        <v>0</v>
      </c>
      <c r="AB12" s="18">
        <f>zał2!Z33</f>
        <v>0</v>
      </c>
    </row>
    <row r="13" spans="1:28" ht="12.75">
      <c r="A13" s="15" t="s">
        <v>18</v>
      </c>
      <c r="B13" s="20" t="s">
        <v>19</v>
      </c>
      <c r="C13" s="17">
        <v>0</v>
      </c>
      <c r="D13" s="17">
        <v>0</v>
      </c>
      <c r="E13" s="17">
        <v>0</v>
      </c>
      <c r="F13" s="14">
        <v>0</v>
      </c>
      <c r="G13" s="14">
        <v>0</v>
      </c>
      <c r="H13" s="18">
        <f>zał2!F34</f>
        <v>0</v>
      </c>
      <c r="I13" s="18">
        <f>zał2!G34</f>
        <v>0</v>
      </c>
      <c r="J13" s="18">
        <f>zał2!H34</f>
        <v>0</v>
      </c>
      <c r="K13" s="18">
        <f>zał2!I34</f>
        <v>0</v>
      </c>
      <c r="L13" s="18">
        <f>zał2!J34</f>
        <v>0</v>
      </c>
      <c r="M13" s="18">
        <f>zał2!K34</f>
        <v>0</v>
      </c>
      <c r="N13" s="18">
        <f>zał2!L34</f>
        <v>0</v>
      </c>
      <c r="O13" s="18">
        <f>zał2!M34</f>
        <v>0</v>
      </c>
      <c r="P13" s="18">
        <f>zał2!N34</f>
        <v>0</v>
      </c>
      <c r="Q13" s="18">
        <f>zał2!O34</f>
        <v>0</v>
      </c>
      <c r="R13" s="18">
        <f>zał2!P34</f>
        <v>0</v>
      </c>
      <c r="S13" s="18">
        <f>zał2!Q34</f>
        <v>0</v>
      </c>
      <c r="T13" s="18">
        <f>zał2!R34</f>
        <v>0</v>
      </c>
      <c r="U13" s="18">
        <f>zał2!S34</f>
        <v>0</v>
      </c>
      <c r="V13" s="18">
        <f>zał2!T34</f>
        <v>0</v>
      </c>
      <c r="W13" s="18">
        <f>zał2!U34</f>
        <v>0</v>
      </c>
      <c r="X13" s="18">
        <f>zał2!V34</f>
        <v>0</v>
      </c>
      <c r="Y13" s="18">
        <f>zał2!W34</f>
        <v>0</v>
      </c>
      <c r="Z13" s="18">
        <f>zał2!X34</f>
        <v>0</v>
      </c>
      <c r="AA13" s="18">
        <f>zał2!Y34</f>
        <v>0</v>
      </c>
      <c r="AB13" s="18">
        <f>zał2!Z34</f>
        <v>0</v>
      </c>
    </row>
    <row r="14" spans="1:28" ht="12.75">
      <c r="A14" s="15" t="s">
        <v>20</v>
      </c>
      <c r="B14" s="20" t="s">
        <v>21</v>
      </c>
      <c r="C14" s="17">
        <v>0</v>
      </c>
      <c r="D14" s="17">
        <v>0</v>
      </c>
      <c r="E14" s="17">
        <v>0</v>
      </c>
      <c r="F14" s="14">
        <v>942064.56</v>
      </c>
      <c r="G14" s="14">
        <v>946646.2100000001</v>
      </c>
      <c r="H14" s="18">
        <f>zał3!H9</f>
        <v>468185</v>
      </c>
      <c r="I14" s="18">
        <f>zał3!I9</f>
        <v>55620</v>
      </c>
      <c r="J14" s="18">
        <f>zał3!J9</f>
        <v>30000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</row>
    <row r="15" spans="1:28" ht="12.75">
      <c r="A15" s="11">
        <v>3</v>
      </c>
      <c r="B15" s="19" t="s">
        <v>22</v>
      </c>
      <c r="C15" s="13">
        <f>SUM(C5-C9)</f>
        <v>11239942</v>
      </c>
      <c r="D15" s="13">
        <f>SUM(D5-D9)</f>
        <v>15048712</v>
      </c>
      <c r="E15" s="13">
        <f>SUM(E5-E9)</f>
        <v>22838492.42</v>
      </c>
      <c r="F15" s="14">
        <v>31629269.999999993</v>
      </c>
      <c r="G15" s="14">
        <v>31629270.000000007</v>
      </c>
      <c r="H15" s="13">
        <f>SUM(H5-H9)</f>
        <v>23722744</v>
      </c>
      <c r="I15" s="13">
        <f>SUM(I5-I9)</f>
        <v>18592227.026930004</v>
      </c>
      <c r="J15" s="13">
        <f>SUM(J5-J9)</f>
        <v>14049432.106340997</v>
      </c>
      <c r="K15" s="13">
        <f>SUM(K5-K9)</f>
        <v>14271063.87900991</v>
      </c>
      <c r="L15" s="13">
        <f>SUM(L5-L9)</f>
        <v>14507456.454837725</v>
      </c>
      <c r="M15" s="13">
        <f>SUM(M5-M9)</f>
        <v>14759111.44997587</v>
      </c>
      <c r="N15" s="13">
        <f>SUM(N5-N9)</f>
        <v>15026547.351614073</v>
      </c>
      <c r="O15" s="13">
        <f>SUM(O5-O9)</f>
        <v>15310299.540610686</v>
      </c>
      <c r="P15" s="13">
        <f>SUM(P5-P9)</f>
        <v>15671819.679353341</v>
      </c>
      <c r="Q15" s="13">
        <f>SUM(Q5-Q9)</f>
        <v>16143631.85626331</v>
      </c>
      <c r="R15" s="13">
        <f>SUM(R5-R9)</f>
        <v>16633479.134576611</v>
      </c>
      <c r="S15" s="13">
        <f>SUM(S5-S9)</f>
        <v>17141973.17805612</v>
      </c>
      <c r="T15" s="13">
        <f>SUM(T5-T9)</f>
        <v>17669746.18930991</v>
      </c>
      <c r="U15" s="13">
        <f>SUM(U5-U9)</f>
        <v>18217451.5938136</v>
      </c>
      <c r="V15" s="13">
        <f>SUM(V5-V9)</f>
        <v>18785764.746556714</v>
      </c>
      <c r="W15" s="13">
        <f>SUM(W5-W9)</f>
        <v>19375383.66205749</v>
      </c>
      <c r="X15" s="13">
        <f>SUM(X5-X9)</f>
        <v>19987029.76851383</v>
      </c>
      <c r="Y15" s="13">
        <f>SUM(Y5-Y9)</f>
        <v>20621448.686884433</v>
      </c>
      <c r="Z15" s="13">
        <f>SUM(Z5-Z9)</f>
        <v>21279411.03571886</v>
      </c>
      <c r="AA15" s="13">
        <f>SUM(AA5-AA9)</f>
        <v>21961712.542583093</v>
      </c>
      <c r="AB15" s="13">
        <f>SUM(AB5-AB9)</f>
        <v>22697488.66295433</v>
      </c>
    </row>
    <row r="16" spans="1:28" ht="12.75">
      <c r="A16" s="11">
        <v>4</v>
      </c>
      <c r="B16" s="19" t="s">
        <v>23</v>
      </c>
      <c r="C16" s="17">
        <v>2208400</v>
      </c>
      <c r="D16" s="17">
        <v>4448000</v>
      </c>
      <c r="E16" s="17">
        <v>3064970</v>
      </c>
      <c r="F16" s="14">
        <v>5882992</v>
      </c>
      <c r="G16" s="14">
        <v>5882992</v>
      </c>
      <c r="H16" s="18">
        <f>H57</f>
        <v>1950140</v>
      </c>
      <c r="I16" s="18">
        <f>I57</f>
        <v>750000</v>
      </c>
      <c r="J16" s="18">
        <f>J57</f>
        <v>9843360.951000005</v>
      </c>
      <c r="K16" s="18">
        <f>K57</f>
        <v>10504383.604480997</v>
      </c>
      <c r="L16" s="18">
        <f>L57</f>
        <v>10933193.111219913</v>
      </c>
      <c r="M16" s="18">
        <f>M57</f>
        <v>11301763.421117723</v>
      </c>
      <c r="N16" s="18">
        <f>N57</f>
        <v>11683346.150325872</v>
      </c>
      <c r="O16" s="18">
        <f>O57</f>
        <v>12078392.28603407</v>
      </c>
      <c r="P16" s="18">
        <f>P57</f>
        <v>12487368.224100687</v>
      </c>
      <c r="Q16" s="18">
        <f>Q57</f>
        <v>12910756.289563343</v>
      </c>
      <c r="R16" s="18">
        <f>R57</f>
        <v>13349055.274570808</v>
      </c>
      <c r="S16" s="18">
        <f>S57</f>
        <v>13802780.994314432</v>
      </c>
      <c r="T16" s="18">
        <f>T57</f>
        <v>14272466.861557081</v>
      </c>
      <c r="U16" s="18">
        <f>U57</f>
        <v>14758664.48037681</v>
      </c>
      <c r="V16" s="18">
        <f>V57</f>
        <v>15261944.259763286</v>
      </c>
      <c r="W16" s="18">
        <f>W57</f>
        <v>15782896.047725603</v>
      </c>
      <c r="X16" s="18">
        <f>X57</f>
        <v>16322129.786592036</v>
      </c>
      <c r="Y16" s="18">
        <f>Y57</f>
        <v>16880276.19020492</v>
      </c>
      <c r="Z16" s="18">
        <f>Z57</f>
        <v>17457987.443736658</v>
      </c>
      <c r="AA16" s="18">
        <f>AA57</f>
        <v>18055937.926876947</v>
      </c>
      <c r="AB16" s="18">
        <f>AB57</f>
        <v>18674824.96116613</v>
      </c>
    </row>
    <row r="17" spans="1:28" ht="12.75">
      <c r="A17" s="15" t="s">
        <v>8</v>
      </c>
      <c r="B17" s="20" t="s">
        <v>24</v>
      </c>
      <c r="C17" s="17">
        <v>0</v>
      </c>
      <c r="D17" s="17">
        <v>0</v>
      </c>
      <c r="E17" s="17">
        <v>0</v>
      </c>
      <c r="F17" s="14">
        <v>5882992</v>
      </c>
      <c r="G17" s="14">
        <v>5882992</v>
      </c>
      <c r="H17" s="18">
        <f>H16</f>
        <v>1950140</v>
      </c>
      <c r="I17" s="18">
        <f>I16</f>
        <v>750000</v>
      </c>
      <c r="J17" s="18">
        <f>J16-J56</f>
        <v>9093360.951000005</v>
      </c>
      <c r="K17" s="18">
        <f>K16-K56</f>
        <v>9754383.604480997</v>
      </c>
      <c r="L17" s="18">
        <f>L16-L56</f>
        <v>10183193.111219913</v>
      </c>
      <c r="M17" s="18">
        <f>M16-M56</f>
        <v>10551763.421117723</v>
      </c>
      <c r="N17" s="18">
        <f>N16-N56</f>
        <v>10933346.150325872</v>
      </c>
      <c r="O17" s="18">
        <f>O16-O56</f>
        <v>11328392.28603407</v>
      </c>
      <c r="P17" s="18">
        <f>P16-P56</f>
        <v>11737368.224100687</v>
      </c>
      <c r="Q17" s="18">
        <f>Q16-Q56</f>
        <v>12160756.289563343</v>
      </c>
      <c r="R17" s="18">
        <f>R16-R56</f>
        <v>12599055.274570808</v>
      </c>
      <c r="S17" s="18">
        <f>S16-S56</f>
        <v>13052780.994314432</v>
      </c>
      <c r="T17" s="18">
        <f>T16-T56</f>
        <v>13522466.861557081</v>
      </c>
      <c r="U17" s="18">
        <f>U16-U56</f>
        <v>14008664.48037681</v>
      </c>
      <c r="V17" s="18">
        <f>V16-V56</f>
        <v>14511944.259763286</v>
      </c>
      <c r="W17" s="18">
        <f>W16-W56</f>
        <v>15032896.047725603</v>
      </c>
      <c r="X17" s="18">
        <f>X16-X56</f>
        <v>15572129.786592036</v>
      </c>
      <c r="Y17" s="18">
        <f>Y16-Y56</f>
        <v>16130276.190204918</v>
      </c>
      <c r="Z17" s="18">
        <f>Z16-Z56</f>
        <v>16707987.443736658</v>
      </c>
      <c r="AA17" s="18">
        <f>AA16-AA56</f>
        <v>17305937.926876947</v>
      </c>
      <c r="AB17" s="18">
        <f>AB16-AB56</f>
        <v>17924824.96116613</v>
      </c>
    </row>
    <row r="18" spans="1:28" ht="12.75">
      <c r="A18" s="11">
        <v>5</v>
      </c>
      <c r="B18" s="19" t="s">
        <v>25</v>
      </c>
      <c r="C18" s="17">
        <v>0</v>
      </c>
      <c r="D18" s="17">
        <v>0</v>
      </c>
      <c r="E18" s="17">
        <v>0</v>
      </c>
      <c r="F18" s="14">
        <v>0</v>
      </c>
      <c r="G18" s="1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</row>
    <row r="19" spans="1:28" ht="12.75">
      <c r="A19" s="11">
        <v>6</v>
      </c>
      <c r="B19" s="19" t="s">
        <v>26</v>
      </c>
      <c r="C19" s="13">
        <f>SUM(C15+C16+C18)</f>
        <v>13448342</v>
      </c>
      <c r="D19" s="13">
        <f>SUM(D15+D16+D18)</f>
        <v>19496712</v>
      </c>
      <c r="E19" s="13">
        <f>SUM(E15+E16+E18)</f>
        <v>25903462.42</v>
      </c>
      <c r="F19" s="14">
        <v>37512261.99999999</v>
      </c>
      <c r="G19" s="14">
        <v>37512262.00000001</v>
      </c>
      <c r="H19" s="13">
        <f>SUM(H15+H16+H18)</f>
        <v>25672884</v>
      </c>
      <c r="I19" s="13">
        <f>SUM(I15+I16+I18)</f>
        <v>19342227.026930004</v>
      </c>
      <c r="J19" s="13">
        <f>SUM(J15+J16+J18)</f>
        <v>23892793.057341002</v>
      </c>
      <c r="K19" s="13">
        <f>SUM(K15+K16+K18)</f>
        <v>24775447.483490907</v>
      </c>
      <c r="L19" s="13">
        <f>SUM(L15+L16+L18)</f>
        <v>25440649.566057637</v>
      </c>
      <c r="M19" s="13">
        <f>SUM(M15+M16+M18)</f>
        <v>26060874.871093594</v>
      </c>
      <c r="N19" s="13">
        <f>SUM(N15+N16+N18)</f>
        <v>26709893.501939945</v>
      </c>
      <c r="O19" s="13">
        <f>SUM(O15+O16+O18)</f>
        <v>27388691.826644756</v>
      </c>
      <c r="P19" s="13">
        <f>SUM(P15+P16+P18)</f>
        <v>28159187.903454028</v>
      </c>
      <c r="Q19" s="13">
        <f>SUM(Q15+Q16+Q18)</f>
        <v>29054388.145826653</v>
      </c>
      <c r="R19" s="13">
        <f>SUM(R15+R16+R18)</f>
        <v>29982534.40914742</v>
      </c>
      <c r="S19" s="13">
        <f>SUM(S15+S16+S18)</f>
        <v>30944754.172370553</v>
      </c>
      <c r="T19" s="13">
        <f>SUM(T15+T16+T18)</f>
        <v>31942213.05086699</v>
      </c>
      <c r="U19" s="13">
        <f>SUM(U15+U16+U18)</f>
        <v>32976116.074190408</v>
      </c>
      <c r="V19" s="13">
        <f>SUM(V15+V16+V18)</f>
        <v>34047709.00632</v>
      </c>
      <c r="W19" s="13">
        <f>SUM(W15+W16+W18)</f>
        <v>35158279.70978309</v>
      </c>
      <c r="X19" s="13">
        <f>SUM(X15+X16+X18)</f>
        <v>36309159.555105865</v>
      </c>
      <c r="Y19" s="13">
        <f>SUM(Y15+Y16+Y18)</f>
        <v>37501724.87708935</v>
      </c>
      <c r="Z19" s="13">
        <f>SUM(Z15+Z16+Z18)</f>
        <v>38737398.479455516</v>
      </c>
      <c r="AA19" s="13">
        <f>SUM(AA15+AA16+AA18)</f>
        <v>40017650.46946004</v>
      </c>
      <c r="AB19" s="13">
        <f>SUM(AB15+AB16+AB18)</f>
        <v>41372313.62412046</v>
      </c>
    </row>
    <row r="20" spans="1:28" ht="12.75">
      <c r="A20" s="11">
        <v>7</v>
      </c>
      <c r="B20" s="12" t="s">
        <v>27</v>
      </c>
      <c r="C20" s="13">
        <f>SUM(C21:C22)</f>
        <v>5006333</v>
      </c>
      <c r="D20" s="13">
        <f>SUM(D21:D22)</f>
        <v>7006783</v>
      </c>
      <c r="E20" s="13">
        <f>SUM(E21:E22)</f>
        <v>7727540.87</v>
      </c>
      <c r="F20" s="24">
        <v>9001134</v>
      </c>
      <c r="G20" s="24">
        <v>9001134</v>
      </c>
      <c r="H20" s="13">
        <f>SUM(H21:H22)</f>
        <v>9681140.89</v>
      </c>
      <c r="I20" s="13">
        <f>SUM(I21:I22)</f>
        <v>8001163.510430001</v>
      </c>
      <c r="J20" s="13">
        <f>SUM(J21:J22)</f>
        <v>7649874.73636</v>
      </c>
      <c r="K20" s="13">
        <f>SUM(K21:K22)</f>
        <v>5040833.00229</v>
      </c>
      <c r="L20" s="13">
        <f>SUM(L21:L22)</f>
        <v>4833655.26822</v>
      </c>
      <c r="M20" s="13">
        <f>SUM(M21:M22)</f>
        <v>4626477.534150001</v>
      </c>
      <c r="N20" s="13">
        <f>SUM(N21:N22)</f>
        <v>4419299.80008</v>
      </c>
      <c r="O20" s="13">
        <f>SUM(O21:O22)</f>
        <v>4212130.52601</v>
      </c>
      <c r="P20" s="13">
        <f>SUM(P21:P22)</f>
        <v>3050896.32854</v>
      </c>
      <c r="Q20" s="13">
        <f>SUM(Q21:Q22)</f>
        <v>1449985.2348700005</v>
      </c>
      <c r="R20" s="13">
        <f>SUM(R21:R22)</f>
        <v>1396552.8712000004</v>
      </c>
      <c r="S20" s="13">
        <f>SUM(S21:S22)</f>
        <v>1343120.5075300005</v>
      </c>
      <c r="T20" s="13">
        <f>SUM(T21:T22)</f>
        <v>1289688.1438600004</v>
      </c>
      <c r="U20" s="13">
        <f>SUM(U21:U22)</f>
        <v>1236255.7801900003</v>
      </c>
      <c r="V20" s="13">
        <f>SUM(V21:V22)</f>
        <v>1182823.4165200004</v>
      </c>
      <c r="W20" s="13">
        <f>SUM(W21:W22)</f>
        <v>1129391.0528500003</v>
      </c>
      <c r="X20" s="13">
        <f>SUM(X21:X22)</f>
        <v>1075958.6891800005</v>
      </c>
      <c r="Y20" s="13">
        <f>SUM(Y21:Y22)</f>
        <v>1022526.3255100005</v>
      </c>
      <c r="Z20" s="13">
        <f>SUM(Z21:Z22)</f>
        <v>969093.9618400005</v>
      </c>
      <c r="AA20" s="13">
        <f>SUM(AA21:AA22)</f>
        <v>915672.8781700004</v>
      </c>
      <c r="AB20" s="13">
        <f>SUM(AB21:AB22)</f>
        <v>418691.39450000005</v>
      </c>
    </row>
    <row r="21" spans="1:28" ht="12.75">
      <c r="A21" s="15" t="s">
        <v>8</v>
      </c>
      <c r="B21" s="20" t="s">
        <v>28</v>
      </c>
      <c r="C21" s="17">
        <v>4216859</v>
      </c>
      <c r="D21" s="17">
        <v>5932009</v>
      </c>
      <c r="E21" s="17">
        <v>6476116.28</v>
      </c>
      <c r="F21" s="14">
        <v>6701134</v>
      </c>
      <c r="G21" s="14">
        <v>6701134</v>
      </c>
      <c r="H21" s="18">
        <f>zał2!F24</f>
        <v>7281140.890000001</v>
      </c>
      <c r="I21" s="18">
        <f>zał2!G24</f>
        <v>5854825.4345</v>
      </c>
      <c r="J21" s="18">
        <f>zał2!H24</f>
        <v>5854826.2345</v>
      </c>
      <c r="K21" s="18">
        <f>zał2!I24</f>
        <v>3452962.2345</v>
      </c>
      <c r="L21" s="18">
        <f>zał2!J24</f>
        <v>3452962.2345</v>
      </c>
      <c r="M21" s="18">
        <f>zał2!K24</f>
        <v>3452962.2345</v>
      </c>
      <c r="N21" s="18">
        <f>zał2!L24</f>
        <v>3452962.2345</v>
      </c>
      <c r="O21" s="18">
        <f>zał2!M24</f>
        <v>3452971.2345</v>
      </c>
      <c r="P21" s="18">
        <f>zał2!N24</f>
        <v>2438018.1245</v>
      </c>
      <c r="Q21" s="18">
        <f>zał2!O24</f>
        <v>890539.3945</v>
      </c>
      <c r="R21" s="18">
        <f>zał2!P24</f>
        <v>890539.3945</v>
      </c>
      <c r="S21" s="18">
        <f>zał2!Q24</f>
        <v>890539.3945</v>
      </c>
      <c r="T21" s="18">
        <f>zał2!R24</f>
        <v>890539.3945</v>
      </c>
      <c r="U21" s="18">
        <f>zał2!S24</f>
        <v>890539.3945</v>
      </c>
      <c r="V21" s="18">
        <f>zał2!T24</f>
        <v>890539.3945</v>
      </c>
      <c r="W21" s="18">
        <f>zał2!U24</f>
        <v>890539.3945</v>
      </c>
      <c r="X21" s="18">
        <f>zał2!V24</f>
        <v>890539.3945</v>
      </c>
      <c r="Y21" s="18">
        <f>zał2!W24</f>
        <v>890539.3945</v>
      </c>
      <c r="Z21" s="18">
        <f>zał2!X24</f>
        <v>890539.3945</v>
      </c>
      <c r="AA21" s="18">
        <f>zał2!Y24</f>
        <v>890551.3945</v>
      </c>
      <c r="AB21" s="18">
        <f>zał2!Z24</f>
        <v>418691.39450000005</v>
      </c>
    </row>
    <row r="22" spans="1:28" ht="12.75">
      <c r="A22" s="15" t="s">
        <v>10</v>
      </c>
      <c r="B22" s="20" t="s">
        <v>29</v>
      </c>
      <c r="C22" s="18">
        <f>SUM(C51)</f>
        <v>789474</v>
      </c>
      <c r="D22" s="18">
        <f>SUM(D51)</f>
        <v>1074774</v>
      </c>
      <c r="E22" s="18">
        <f>SUM(E51)</f>
        <v>1251424.59</v>
      </c>
      <c r="F22" s="14">
        <v>2300000</v>
      </c>
      <c r="G22" s="14">
        <v>2300000</v>
      </c>
      <c r="H22" s="18">
        <f>SUM(H51)</f>
        <v>2400000</v>
      </c>
      <c r="I22" s="18">
        <f>SUM(I51)</f>
        <v>2146338.07593</v>
      </c>
      <c r="J22" s="18">
        <f>SUM(J51)</f>
        <v>1795048.5018600002</v>
      </c>
      <c r="K22" s="18">
        <f>SUM(K51)</f>
        <v>1587870.7677900002</v>
      </c>
      <c r="L22" s="18">
        <f>SUM(L51)</f>
        <v>1380693.0337200004</v>
      </c>
      <c r="M22" s="18">
        <f>SUM(M51)</f>
        <v>1173515.2996500004</v>
      </c>
      <c r="N22" s="18">
        <f>SUM(N51)</f>
        <v>966337.5655800004</v>
      </c>
      <c r="O22" s="18">
        <f>SUM(O51)</f>
        <v>759159.2915100005</v>
      </c>
      <c r="P22" s="18">
        <f>SUM(P51)</f>
        <v>612878.2040400004</v>
      </c>
      <c r="Q22" s="18">
        <f>SUM(Q51)</f>
        <v>559445.8403700005</v>
      </c>
      <c r="R22" s="18">
        <f>SUM(R51)</f>
        <v>506013.47670000046</v>
      </c>
      <c r="S22" s="18">
        <f>SUM(S51)</f>
        <v>452581.1130300004</v>
      </c>
      <c r="T22" s="18">
        <f>SUM(T51)</f>
        <v>399148.7493600004</v>
      </c>
      <c r="U22" s="18">
        <f>SUM(U51)</f>
        <v>345716.3856900004</v>
      </c>
      <c r="V22" s="18">
        <f>SUM(V51)</f>
        <v>292284.0220200004</v>
      </c>
      <c r="W22" s="18">
        <f>SUM(W51)</f>
        <v>238851.65835000036</v>
      </c>
      <c r="X22" s="18">
        <f>SUM(X51)</f>
        <v>185419.29468000037</v>
      </c>
      <c r="Y22" s="18">
        <f>SUM(Y51)</f>
        <v>131986.93101000038</v>
      </c>
      <c r="Z22" s="18">
        <f>SUM(Z51)</f>
        <v>78554.56734000039</v>
      </c>
      <c r="AA22" s="18">
        <f>SUM(AA51)</f>
        <v>25121.48367000038</v>
      </c>
      <c r="AB22" s="18">
        <f>SUM(AB51)</f>
        <v>0</v>
      </c>
    </row>
    <row r="23" spans="1:28" ht="12.75">
      <c r="A23" s="11">
        <v>8</v>
      </c>
      <c r="B23" s="19" t="s">
        <v>30</v>
      </c>
      <c r="C23" s="17">
        <v>0</v>
      </c>
      <c r="D23" s="17">
        <v>0</v>
      </c>
      <c r="E23" s="17">
        <v>0</v>
      </c>
      <c r="F23" s="14">
        <v>0</v>
      </c>
      <c r="G23" s="1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</row>
    <row r="24" spans="1:28" ht="12.75">
      <c r="A24" s="11">
        <v>9</v>
      </c>
      <c r="B24" s="19" t="s">
        <v>31</v>
      </c>
      <c r="C24" s="13">
        <f>SUM(C19-C20-C23)</f>
        <v>8442009</v>
      </c>
      <c r="D24" s="13">
        <f>SUM(D19-D20-D23)</f>
        <v>12489929</v>
      </c>
      <c r="E24" s="13">
        <f>SUM(E19-E20-E23)</f>
        <v>18175921.55</v>
      </c>
      <c r="F24" s="14">
        <v>28511127.999999993</v>
      </c>
      <c r="G24" s="14">
        <v>28511128.000000007</v>
      </c>
      <c r="H24" s="13">
        <f>SUM(H19-H20-H23)</f>
        <v>15991743.11</v>
      </c>
      <c r="I24" s="13">
        <f>SUM(I19-I20-I23)</f>
        <v>11341063.516500004</v>
      </c>
      <c r="J24" s="13">
        <f>SUM(J19-J20-J23)</f>
        <v>16242918.320981001</v>
      </c>
      <c r="K24" s="13">
        <f>SUM(K19-K20-K23)</f>
        <v>19734614.481200907</v>
      </c>
      <c r="L24" s="13">
        <f>SUM(L19-L20-L23)</f>
        <v>20606994.297837637</v>
      </c>
      <c r="M24" s="13">
        <f>SUM(M19-M20-M23)</f>
        <v>21434397.336943593</v>
      </c>
      <c r="N24" s="13">
        <f>SUM(N19-N20-N23)</f>
        <v>22290593.701859944</v>
      </c>
      <c r="O24" s="13">
        <f>SUM(O19-O20-O23)</f>
        <v>23176561.300634757</v>
      </c>
      <c r="P24" s="13">
        <f>SUM(P19-P20-P23)</f>
        <v>25108291.574914027</v>
      </c>
      <c r="Q24" s="13">
        <f>SUM(Q19-Q20-Q23)</f>
        <v>27604402.91095665</v>
      </c>
      <c r="R24" s="13">
        <f>SUM(R19-R20-R23)</f>
        <v>28585981.53794742</v>
      </c>
      <c r="S24" s="13">
        <f>SUM(S19-S20-S23)</f>
        <v>29601633.664840553</v>
      </c>
      <c r="T24" s="13">
        <f>SUM(T19-T20-T23)</f>
        <v>30652524.90700699</v>
      </c>
      <c r="U24" s="13">
        <f>SUM(U19-U20-U23)</f>
        <v>31739860.29400041</v>
      </c>
      <c r="V24" s="13">
        <f>SUM(V19-V20-V23)</f>
        <v>32864885.5898</v>
      </c>
      <c r="W24" s="13">
        <f>SUM(W19-W20-W23)</f>
        <v>34028888.65693309</v>
      </c>
      <c r="X24" s="13">
        <f>SUM(X19-X20-X23)</f>
        <v>35233200.86592586</v>
      </c>
      <c r="Y24" s="13">
        <f>SUM(Y19-Y20-Y23)</f>
        <v>36479198.55157935</v>
      </c>
      <c r="Z24" s="13">
        <f>SUM(Z19-Z20-Z23)</f>
        <v>37768304.51761551</v>
      </c>
      <c r="AA24" s="13">
        <f>SUM(AA19-AA20-AA23)</f>
        <v>39101977.59129004</v>
      </c>
      <c r="AB24" s="13">
        <f>SUM(AB19-AB20-AB23)</f>
        <v>40953622.22962046</v>
      </c>
    </row>
    <row r="25" spans="1:28" ht="12.75">
      <c r="A25" s="11">
        <v>10</v>
      </c>
      <c r="B25" s="12" t="s">
        <v>32</v>
      </c>
      <c r="C25" s="17">
        <v>18745557</v>
      </c>
      <c r="D25" s="17">
        <v>19672209</v>
      </c>
      <c r="E25" s="18">
        <f>zał2!D11</f>
        <v>28233437.43</v>
      </c>
      <c r="F25" s="14">
        <v>37712176</v>
      </c>
      <c r="G25" s="14">
        <v>37712176</v>
      </c>
      <c r="H25" s="18">
        <f>zał2!F11</f>
        <v>24365571</v>
      </c>
      <c r="I25" s="18">
        <f>zał2!G11</f>
        <v>7352528</v>
      </c>
      <c r="J25" s="18">
        <f>zał2!H11</f>
        <v>2500000</v>
      </c>
      <c r="K25" s="18">
        <f>zał2!I11</f>
        <v>2500000</v>
      </c>
      <c r="L25" s="18">
        <f>zał2!J11</f>
        <v>2575000</v>
      </c>
      <c r="M25" s="18">
        <f>zał2!K11</f>
        <v>2652250</v>
      </c>
      <c r="N25" s="18">
        <f>zał2!L11</f>
        <v>2731817.5</v>
      </c>
      <c r="O25" s="18">
        <f>zał2!M11</f>
        <v>2813772.025</v>
      </c>
      <c r="P25" s="18">
        <f>zał2!N11</f>
        <v>2898185.1857499997</v>
      </c>
      <c r="Q25" s="18">
        <f>zał2!O11</f>
        <v>2985130.7413224997</v>
      </c>
      <c r="R25" s="18">
        <f>zał2!P11</f>
        <v>3074684.663562175</v>
      </c>
      <c r="S25" s="18">
        <f>zał2!Q11</f>
        <v>3166925.2034690403</v>
      </c>
      <c r="T25" s="18">
        <f>zał2!R11</f>
        <v>3261932.9595731115</v>
      </c>
      <c r="U25" s="18">
        <f>zał2!S11</f>
        <v>3359790.948360305</v>
      </c>
      <c r="V25" s="18">
        <f>zał2!T11</f>
        <v>3460584.676811114</v>
      </c>
      <c r="W25" s="18">
        <f>zał2!U11</f>
        <v>3564402.2171154474</v>
      </c>
      <c r="X25" s="18">
        <f>zał2!V11</f>
        <v>3671334.283628911</v>
      </c>
      <c r="Y25" s="18">
        <f>zał2!W11</f>
        <v>3781474.312137778</v>
      </c>
      <c r="Z25" s="18">
        <f>zał2!X11</f>
        <v>3894918.5415019114</v>
      </c>
      <c r="AA25" s="18">
        <f>zał2!Y11</f>
        <v>4011766.0977469687</v>
      </c>
      <c r="AB25" s="18">
        <f>zał2!Z11</f>
        <v>4132119.080679378</v>
      </c>
    </row>
    <row r="26" spans="1:28" ht="12.75">
      <c r="A26" s="15" t="s">
        <v>8</v>
      </c>
      <c r="B26" s="20" t="s">
        <v>33</v>
      </c>
      <c r="C26" s="17">
        <v>18745557</v>
      </c>
      <c r="D26" s="17">
        <v>19672209</v>
      </c>
      <c r="E26" s="18">
        <f>E25</f>
        <v>28233437.43</v>
      </c>
      <c r="F26" s="14">
        <v>37712176</v>
      </c>
      <c r="G26" s="14">
        <v>37712176</v>
      </c>
      <c r="H26" s="18">
        <f>zał3!H10</f>
        <v>22773571</v>
      </c>
      <c r="I26" s="18">
        <f>zał3!I10</f>
        <v>6352528</v>
      </c>
      <c r="J26" s="18">
        <f>zał3!J10</f>
        <v>1500000</v>
      </c>
      <c r="K26" s="18">
        <f>zał3!K10</f>
        <v>1500000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</row>
    <row r="27" spans="1:28" ht="12.75">
      <c r="A27" s="11">
        <v>11</v>
      </c>
      <c r="B27" s="19" t="s">
        <v>34</v>
      </c>
      <c r="C27" s="17">
        <v>14411180</v>
      </c>
      <c r="D27" s="17">
        <v>10425160</v>
      </c>
      <c r="E27" s="17">
        <v>15861658</v>
      </c>
      <c r="F27" s="14">
        <v>9201048</v>
      </c>
      <c r="G27" s="14">
        <v>9201048</v>
      </c>
      <c r="H27" s="18">
        <f>zał2!F15</f>
        <v>8373827.890000001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</row>
    <row r="28" spans="1:28" ht="12.75">
      <c r="A28" s="11">
        <v>12</v>
      </c>
      <c r="B28" s="19" t="s">
        <v>35</v>
      </c>
      <c r="C28" s="25">
        <f>SUM(C24-C25+C27)</f>
        <v>4107632</v>
      </c>
      <c r="D28" s="25">
        <f>SUM(D24-D25+D27)</f>
        <v>3242880</v>
      </c>
      <c r="E28" s="25">
        <f>SUM(E24-E25+E27)</f>
        <v>5804142.120000001</v>
      </c>
      <c r="F28" s="26">
        <v>0</v>
      </c>
      <c r="G28" s="26">
        <v>0</v>
      </c>
      <c r="H28" s="25">
        <f>SUM(H24-H25+H27)</f>
        <v>0</v>
      </c>
      <c r="I28" s="25">
        <f>SUM(I24-I25+I27)</f>
        <v>3988535.5165000036</v>
      </c>
      <c r="J28" s="25">
        <f>SUM(J24-J25+J27)</f>
        <v>13742918.320981001</v>
      </c>
      <c r="K28" s="25">
        <f>SUM(K24-K25+K27)</f>
        <v>17234614.481200907</v>
      </c>
      <c r="L28" s="25">
        <f>SUM(L24-L25+L27)</f>
        <v>18031994.297837637</v>
      </c>
      <c r="M28" s="25">
        <f>SUM(M24-M25+M27)</f>
        <v>18782147.336943593</v>
      </c>
      <c r="N28" s="25">
        <f>SUM(N24-N25+N27)</f>
        <v>19558776.201859944</v>
      </c>
      <c r="O28" s="25">
        <f>SUM(O24-O25+O27)</f>
        <v>20362789.27563476</v>
      </c>
      <c r="P28" s="25">
        <f>SUM(P24-P25+P27)</f>
        <v>22210106.389164027</v>
      </c>
      <c r="Q28" s="25">
        <f>SUM(Q24-Q25+Q27)</f>
        <v>24619272.169634152</v>
      </c>
      <c r="R28" s="25">
        <f>SUM(R24-R25+R27)</f>
        <v>25511296.874385245</v>
      </c>
      <c r="S28" s="25">
        <f>SUM(S24-S25+S27)</f>
        <v>26434708.46137151</v>
      </c>
      <c r="T28" s="25">
        <f>SUM(T24-T25+T27)</f>
        <v>27390591.947433878</v>
      </c>
      <c r="U28" s="25">
        <f>SUM(U24-U25+U27)</f>
        <v>28380069.345640104</v>
      </c>
      <c r="V28" s="25">
        <f>SUM(V24-V25+V27)</f>
        <v>29404300.912988886</v>
      </c>
      <c r="W28" s="25">
        <f>SUM(W24-W25+W27)</f>
        <v>30464486.439817645</v>
      </c>
      <c r="X28" s="25">
        <f>SUM(X24-X25+X27)</f>
        <v>31561866.582296953</v>
      </c>
      <c r="Y28" s="25">
        <f>SUM(Y24-Y25+Y27)</f>
        <v>32697724.23944157</v>
      </c>
      <c r="Z28" s="25">
        <f>SUM(Z24-Z25+Z27)</f>
        <v>33873385.9761136</v>
      </c>
      <c r="AA28" s="25">
        <f>SUM(AA24-AA25+AA27)</f>
        <v>35090211.49354307</v>
      </c>
      <c r="AB28" s="25">
        <f>SUM(AB24-AB25+AB27)</f>
        <v>36821503.14894108</v>
      </c>
    </row>
    <row r="29" spans="1:28" ht="12.75">
      <c r="A29" s="11">
        <v>13</v>
      </c>
      <c r="B29" s="12" t="s">
        <v>36</v>
      </c>
      <c r="C29" s="23">
        <v>24155833</v>
      </c>
      <c r="D29" s="23">
        <v>26648984.02</v>
      </c>
      <c r="E29" s="18">
        <f>zał2!D46</f>
        <v>38034525.7</v>
      </c>
      <c r="F29" s="14">
        <v>40534439.7</v>
      </c>
      <c r="G29" s="14">
        <v>40534439.7</v>
      </c>
      <c r="H29" s="18">
        <f>zał2!F46</f>
        <v>41627126.7</v>
      </c>
      <c r="I29" s="18">
        <f>zał2!G46</f>
        <v>35772301.2655</v>
      </c>
      <c r="J29" s="18">
        <f>zał2!H46</f>
        <v>29917475.031000003</v>
      </c>
      <c r="K29" s="18">
        <f>zał2!I46</f>
        <v>26464512.796500005</v>
      </c>
      <c r="L29" s="18">
        <f>zał2!J46</f>
        <v>23011550.562000006</v>
      </c>
      <c r="M29" s="18">
        <f>zał2!K46</f>
        <v>19558588.327500008</v>
      </c>
      <c r="N29" s="18">
        <f>zał2!L46</f>
        <v>16105626.093000008</v>
      </c>
      <c r="O29" s="18">
        <f>zał2!M46</f>
        <v>12652654.858500008</v>
      </c>
      <c r="P29" s="18">
        <f>zał2!N46</f>
        <v>10214636.734000009</v>
      </c>
      <c r="Q29" s="18">
        <f>zał2!O46</f>
        <v>9324097.339500008</v>
      </c>
      <c r="R29" s="18">
        <f>zał2!P46</f>
        <v>8433557.945000008</v>
      </c>
      <c r="S29" s="18">
        <f>zał2!Q46</f>
        <v>7543018.550500007</v>
      </c>
      <c r="T29" s="18">
        <f>zał2!R46</f>
        <v>6652479.156000007</v>
      </c>
      <c r="U29" s="18">
        <f>zał2!S46</f>
        <v>5761939.761500007</v>
      </c>
      <c r="V29" s="18">
        <f>zał2!T46</f>
        <v>4871400.367000006</v>
      </c>
      <c r="W29" s="18">
        <f>zał2!U46</f>
        <v>3980860.972500006</v>
      </c>
      <c r="X29" s="18">
        <f>zał2!V46</f>
        <v>3090321.5780000063</v>
      </c>
      <c r="Y29" s="18">
        <f>zał2!W46</f>
        <v>2199782.1835000063</v>
      </c>
      <c r="Z29" s="18">
        <f>zał2!X46</f>
        <v>1309242.7890000064</v>
      </c>
      <c r="AA29" s="18">
        <f>zał2!Y46</f>
        <v>418691.39450000634</v>
      </c>
      <c r="AB29" s="18">
        <f>zał2!Z46</f>
        <v>0</v>
      </c>
    </row>
    <row r="30" spans="1:28" ht="12.75">
      <c r="A30" s="15" t="s">
        <v>8</v>
      </c>
      <c r="B30" s="20" t="s">
        <v>37</v>
      </c>
      <c r="C30" s="27">
        <v>4861053</v>
      </c>
      <c r="D30" s="27">
        <v>7964322</v>
      </c>
      <c r="E30" s="18">
        <f>zał2!D47</f>
        <v>9438082</v>
      </c>
      <c r="F30" s="14">
        <v>8929764.1</v>
      </c>
      <c r="G30" s="14">
        <v>8929764.1</v>
      </c>
      <c r="H30" s="18">
        <f>zał2!F47</f>
        <v>10316494.2</v>
      </c>
      <c r="I30" s="18">
        <f>zał2!G47</f>
        <v>9101058.95</v>
      </c>
      <c r="J30" s="18">
        <f>zał2!H47</f>
        <v>7885623.699999999</v>
      </c>
      <c r="K30" s="18">
        <f>zał2!I47</f>
        <v>6893905.449999999</v>
      </c>
      <c r="L30" s="18">
        <f>zał2!J47</f>
        <v>5902187.199999999</v>
      </c>
      <c r="M30" s="18">
        <f>zał2!K47</f>
        <v>4910468.949999999</v>
      </c>
      <c r="N30" s="18">
        <f>zał2!L47</f>
        <v>3918750.6999999993</v>
      </c>
      <c r="O30" s="18">
        <f>zał2!M47</f>
        <v>2927029.4499999993</v>
      </c>
      <c r="P30" s="18">
        <f>zał2!N47</f>
        <v>2406726.1999999993</v>
      </c>
      <c r="Q30" s="18">
        <f>zał2!O47</f>
        <v>2199903.849999999</v>
      </c>
      <c r="R30" s="18">
        <f>zał2!P47</f>
        <v>1993081.499999999</v>
      </c>
      <c r="S30" s="18">
        <f>zał2!Q47</f>
        <v>1786259.149999999</v>
      </c>
      <c r="T30" s="18">
        <f>zał2!R47</f>
        <v>1579436.7999999989</v>
      </c>
      <c r="U30" s="18">
        <f>zał2!S47</f>
        <v>1372614.4499999988</v>
      </c>
      <c r="V30" s="18">
        <f>zał2!T47</f>
        <v>1165792.0999999987</v>
      </c>
      <c r="W30" s="18">
        <f>zał2!U47</f>
        <v>958969.7499999987</v>
      </c>
      <c r="X30" s="18">
        <f>zał2!V47</f>
        <v>752147.3999999987</v>
      </c>
      <c r="Y30" s="18">
        <f>zał2!W47</f>
        <v>545325.0499999988</v>
      </c>
      <c r="Z30" s="18">
        <f>zał2!X47</f>
        <v>338502.6999999988</v>
      </c>
      <c r="AA30" s="18">
        <f>zał2!Y47</f>
        <v>131634.34999999878</v>
      </c>
      <c r="AB30" s="18">
        <f>zał2!Z47</f>
        <v>-1.2223608791828156E-09</v>
      </c>
    </row>
    <row r="31" spans="1:28" ht="12.75">
      <c r="A31" s="15" t="s">
        <v>10</v>
      </c>
      <c r="B31" s="20" t="s">
        <v>38</v>
      </c>
      <c r="C31" s="27">
        <v>1443268</v>
      </c>
      <c r="D31" s="27">
        <v>1189634</v>
      </c>
      <c r="E31" s="18">
        <f>zał2!D26</f>
        <v>1661049</v>
      </c>
      <c r="F31" s="14">
        <v>1974529.9</v>
      </c>
      <c r="G31" s="14">
        <v>1974529.9</v>
      </c>
      <c r="H31" s="18">
        <f>zał2!F26</f>
        <v>1245956.9</v>
      </c>
      <c r="I31" s="18">
        <f>zał2!G26</f>
        <v>1215435.25</v>
      </c>
      <c r="J31" s="18">
        <f>zał2!H26</f>
        <v>1215435.25</v>
      </c>
      <c r="K31" s="18">
        <f>zał2!I26</f>
        <v>991718.25</v>
      </c>
      <c r="L31" s="18">
        <f>zał2!J26</f>
        <v>991718.25</v>
      </c>
      <c r="M31" s="18">
        <f>zał2!K26</f>
        <v>991718.25</v>
      </c>
      <c r="N31" s="18">
        <f>zał2!L26</f>
        <v>991718.25</v>
      </c>
      <c r="O31" s="18">
        <f>zał2!M26</f>
        <v>991721.25</v>
      </c>
      <c r="P31" s="18">
        <f>zał2!N26</f>
        <v>520303.25</v>
      </c>
      <c r="Q31" s="18">
        <f>zał2!O26</f>
        <v>206822.35</v>
      </c>
      <c r="R31" s="18">
        <f>zał2!P26</f>
        <v>206822.35</v>
      </c>
      <c r="S31" s="18">
        <f>zał2!Q26</f>
        <v>206822.35</v>
      </c>
      <c r="T31" s="18">
        <f>zał2!R26</f>
        <v>206822.35</v>
      </c>
      <c r="U31" s="18">
        <f>zał2!S26</f>
        <v>206822.35</v>
      </c>
      <c r="V31" s="18">
        <f>zał2!T26</f>
        <v>206822.35</v>
      </c>
      <c r="W31" s="18">
        <f>zał2!U26</f>
        <v>206822.35</v>
      </c>
      <c r="X31" s="18">
        <f>zał2!V26</f>
        <v>206822.35</v>
      </c>
      <c r="Y31" s="18">
        <f>zał2!W26</f>
        <v>206822.35</v>
      </c>
      <c r="Z31" s="18">
        <f>zał2!X26</f>
        <v>206822.35</v>
      </c>
      <c r="AA31" s="18">
        <f>zał2!Y26</f>
        <v>206868.35</v>
      </c>
      <c r="AB31" s="18">
        <f>zał2!Z26</f>
        <v>131634.35</v>
      </c>
    </row>
    <row r="32" spans="1:28" ht="12.75">
      <c r="A32" s="11">
        <v>14</v>
      </c>
      <c r="B32" s="19" t="s">
        <v>39</v>
      </c>
      <c r="C32" s="23">
        <v>0</v>
      </c>
      <c r="D32" s="23">
        <v>0</v>
      </c>
      <c r="E32" s="23">
        <v>0</v>
      </c>
      <c r="F32" s="14">
        <v>0</v>
      </c>
      <c r="G32" s="14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</row>
    <row r="33" spans="1:28" ht="12.75">
      <c r="A33" s="11">
        <v>15</v>
      </c>
      <c r="B33" s="19" t="s">
        <v>40</v>
      </c>
      <c r="C33" s="28">
        <f>SUM(C20+C12)/C5</f>
        <v>0.0895572282649128</v>
      </c>
      <c r="D33" s="28">
        <f>SUM(D20+D12)/D5</f>
        <v>0.1081319059547739</v>
      </c>
      <c r="E33" s="28">
        <f>SUM(E20+E12)/E5</f>
        <v>0.10789926864659695</v>
      </c>
      <c r="F33" s="29">
        <v>0.10653286315642435</v>
      </c>
      <c r="G33" s="29">
        <v>0.10492023022441042</v>
      </c>
      <c r="H33" s="28">
        <f>SUM(H20+H12)/H5</f>
        <v>0.12315839186849371</v>
      </c>
      <c r="I33" s="28">
        <f>SUM(I20+I12)/I5</f>
        <v>0.11857231295770379</v>
      </c>
      <c r="J33" s="28">
        <f>SUM(J20+J12)/J5</f>
        <v>0.11801959603281346</v>
      </c>
      <c r="K33" s="28">
        <f>SUM(K20+K12)/K5</f>
        <v>0.0754339943501083</v>
      </c>
      <c r="L33" s="28">
        <f>SUM(L20+L12)/L5</f>
        <v>0.0701625624891582</v>
      </c>
      <c r="M33" s="28">
        <f>SUM(M20+M12)/M5</f>
        <v>0.06513961353813753</v>
      </c>
      <c r="N33" s="28">
        <f>SUM(N20+N12)/N5</f>
        <v>0.06035498060702721</v>
      </c>
      <c r="O33" s="28">
        <f>SUM(O20+O12)/O5</f>
        <v>0.05579899530893618</v>
      </c>
      <c r="P33" s="28">
        <f>SUM(P20+P12)/P5</f>
        <v>0.039202782744327376</v>
      </c>
      <c r="Q33" s="28">
        <f>SUM(Q20+Q12)/Q5</f>
        <v>0.018072485737816217</v>
      </c>
      <c r="R33" s="28">
        <f>SUM(R20+R12)/R5</f>
        <v>0.01688404638598525</v>
      </c>
      <c r="S33" s="28">
        <f>SUM(S20+S12)/S5</f>
        <v>0.015750667264756008</v>
      </c>
      <c r="T33" s="28">
        <f>SUM(T20+T12)/T5</f>
        <v>0.014670113873112007</v>
      </c>
      <c r="U33" s="28">
        <f>SUM(U20+U12)/U5</f>
        <v>0.013640236237543336</v>
      </c>
      <c r="V33" s="28">
        <f>SUM(V20+V12)/V5</f>
        <v>0.012658965851185608</v>
      </c>
      <c r="W33" s="28">
        <f>SUM(W20+W12)/W5</f>
        <v>0.011724312720540902</v>
      </c>
      <c r="X33" s="28">
        <f>SUM(X20+X12)/X5</f>
        <v>0.010834362516080555</v>
      </c>
      <c r="Y33" s="28">
        <f>SUM(Y20+Y12)/Y5</f>
        <v>0.009987273823154669</v>
      </c>
      <c r="Z33" s="28">
        <f>SUM(Z20+Z12)/Z5</f>
        <v>0.009181275489754422</v>
      </c>
      <c r="AA33" s="28">
        <f>SUM(AA20+AA12)/AA5</f>
        <v>0.008414767727712973</v>
      </c>
      <c r="AB33" s="28">
        <f>SUM(AB20+AB12)/AB5</f>
        <v>0.0037321616503898703</v>
      </c>
    </row>
    <row r="34" spans="1:28" ht="12.75">
      <c r="A34" s="11" t="s">
        <v>8</v>
      </c>
      <c r="B34" s="19" t="s">
        <v>41</v>
      </c>
      <c r="C34" s="30" t="s">
        <v>42</v>
      </c>
      <c r="D34" s="30" t="s">
        <v>42</v>
      </c>
      <c r="E34" s="30" t="s">
        <v>42</v>
      </c>
      <c r="F34" s="31">
        <v>0.0845167385672977</v>
      </c>
      <c r="G34" s="29">
        <v>0.0845167385672977</v>
      </c>
      <c r="H34" s="28">
        <f>((F6+F8-F9-F22)/F5+(E6+E8-E9-E22)/E5+(D6+D8-D9-D22)/D5)/3</f>
        <v>0.07029718109259919</v>
      </c>
      <c r="I34" s="28">
        <f>((H6+H8-H9-H22)/H5+(F6+F8-F9-F22)/F5+(E6+E8-E9-E22)/E5)/3</f>
        <v>0.060054153766852136</v>
      </c>
      <c r="J34" s="28">
        <f>((I6+I8-I9-I22)/I5+(H6+H8-H9-H22)/H5+(F6+F8-F9-F22)/F5)/3</f>
        <v>0.10077468601895528</v>
      </c>
      <c r="K34" s="28">
        <f>((J6+J8-J9-J22)/J5+(I6+I8-I9-I22)/I5+(H6+H8-H9-H22)/H5)/3</f>
        <v>0.1373979781589461</v>
      </c>
      <c r="L34" s="28">
        <f>((K6+K8-K9-K22)/K5+(J6+J8-J9-J22)/J5+(I6+I8-I9-I22)/I5)/3</f>
        <v>0.17494274367449722</v>
      </c>
      <c r="M34" s="28">
        <f>((L6+L8-L9-L22)/L5+(K6+K8-K9-K22)/K5+(J6+J8-J9-J22)/J5)/3</f>
        <v>0.15680306093334462</v>
      </c>
      <c r="N34" s="28">
        <f>((M6+M8-M9-M22)/M5+(L6+L8-L9-L22)/L5+(K6+K8-K9-K22)/K5)/3</f>
        <v>0.15757505275398864</v>
      </c>
      <c r="O34" s="28">
        <f>((N6+N8-N9-N22)/N5+(M6+M8-M9-M22)/M5+(L6+L8-L9-L22)/L5)/3</f>
        <v>0.15834637971866192</v>
      </c>
      <c r="P34" s="28">
        <f>((O6+O8-O9-O22)/O5+(N6+N8-N9-N22)/N5+(M6+M8-M9-M22)/M5)/3</f>
        <v>0.15911704232317392</v>
      </c>
      <c r="Q34" s="28">
        <f>((P6+P8-P9-P22)/P5+(O6+O8-O9-O22)/O5+(N6+N8-N9-N22)/N5)/3</f>
        <v>0.1598870410631056</v>
      </c>
      <c r="R34" s="28">
        <f>((Q6+Q8-Q9-Q22)/Q5+(P6+P8-P9-P22)/P5+(O6+O8-O9-O22)/O5)/3</f>
        <v>0.1606563764338088</v>
      </c>
      <c r="S34" s="28">
        <f>((R6+R8-R9-R22)/R5+(Q6+Q8-Q9-Q22)/Q5+(P6+P8-P9-P22)/P5)/3</f>
        <v>0.16142504893040666</v>
      </c>
      <c r="T34" s="28">
        <f>((S6+S8-S9-S22)/S5+(R6+R8-R9-R22)/R5+(Q6+Q8-Q9-Q22)/Q5)/3</f>
        <v>0.162193059047793</v>
      </c>
      <c r="U34" s="28">
        <f>((T6+T8-T9-T22)/T5+(S6+S8-S9-S22)/S5+(R6+R8-R9-R22)/R5)/3</f>
        <v>0.1629604072806323</v>
      </c>
      <c r="V34" s="28">
        <f>((U6+U8-U9-U22)/U5+(T6+T8-T9-T22)/T5+(S6+S8-S9-S22)/S5)/3</f>
        <v>0.16372709412335956</v>
      </c>
      <c r="W34" s="28">
        <f>((V6+V8-V9-V22)/V5+(U6+U8-U9-U22)/U5+(T6+T8-T9-T22)/T5)/3</f>
        <v>0.16449312007018002</v>
      </c>
      <c r="X34" s="28">
        <f>((W6+W8-W9-W22)/W5+(V6+V8-V9-V22)/V5+(U6+U8-U9-U22)/U5)/3</f>
        <v>0.1652584856150693</v>
      </c>
      <c r="Y34" s="28">
        <f>((X6+X8-X9-X22)/X5+(W6+W8-W9-W22)/W5+(V6+V8-V9-V22)/V5)/3</f>
        <v>0.16602319125177276</v>
      </c>
      <c r="Z34" s="28">
        <f>((Y6+Y8-Y9-Y22)/Y5+(X6+X8-X9-X22)/X5+(W6+W8-W9-W22)/W5)/3</f>
        <v>0.16678723747380575</v>
      </c>
      <c r="AA34" s="28">
        <f>((Z6+Z8-Z9-Z22)/Z5+(Y6+Y8-Y9-Y22)/Y5+(X6+X8-X9-X22)/X5)/3</f>
        <v>0.16755062477445318</v>
      </c>
      <c r="AB34" s="28">
        <f>((AA6+AA8-AA9-AA22)/AA5+(Z6+Z8-Z9-Z22)/Z5+(Y6+Y8-Y9-Y22)/Y5)/3</f>
        <v>0.16831335364676958</v>
      </c>
    </row>
    <row r="35" spans="1:28" ht="12.75">
      <c r="A35" s="11">
        <v>16</v>
      </c>
      <c r="B35" s="19" t="s">
        <v>43</v>
      </c>
      <c r="C35" s="32" t="s">
        <v>42</v>
      </c>
      <c r="D35" s="32" t="s">
        <v>42</v>
      </c>
      <c r="E35" s="32" t="s">
        <v>42</v>
      </c>
      <c r="F35" s="33"/>
      <c r="G35" s="33" t="s">
        <v>44</v>
      </c>
      <c r="H35" s="34" t="str">
        <f>IF(H36&lt;=H34,"TAK","NIE")</f>
        <v>NIE</v>
      </c>
      <c r="I35" s="34" t="str">
        <f>IF(I36&lt;=I34,"TAK","NIE")</f>
        <v>NIE</v>
      </c>
      <c r="J35" s="34" t="str">
        <f>IF(J36&lt;=J34,"TAK","NIE")</f>
        <v>TAK</v>
      </c>
      <c r="K35" s="34" t="str">
        <f>IF(K36&lt;=K34,"TAK","NIE")</f>
        <v>TAK</v>
      </c>
      <c r="L35" s="34" t="str">
        <f>IF(L36&lt;=L34,"TAK","NIE")</f>
        <v>TAK</v>
      </c>
      <c r="M35" s="34" t="str">
        <f>IF(M36&lt;=M34,"TAK","NIE")</f>
        <v>TAK</v>
      </c>
      <c r="N35" s="34" t="str">
        <f>IF(N36&lt;=N34,"TAK","NIE")</f>
        <v>TAK</v>
      </c>
      <c r="O35" s="34" t="str">
        <f>IF(O36&lt;=O34,"TAK","NIE")</f>
        <v>TAK</v>
      </c>
      <c r="P35" s="34" t="str">
        <f>IF(P36&lt;=P34,"TAK","NIE")</f>
        <v>TAK</v>
      </c>
      <c r="Q35" s="34" t="str">
        <f>IF(Q36&lt;=Q34,"TAK","NIE")</f>
        <v>TAK</v>
      </c>
      <c r="R35" s="34" t="str">
        <f>IF(R36&lt;=R34,"TAK","NIE")</f>
        <v>TAK</v>
      </c>
      <c r="S35" s="34" t="str">
        <f>IF(S36&lt;=S34,"TAK","NIE")</f>
        <v>TAK</v>
      </c>
      <c r="T35" s="34" t="str">
        <f>IF(T36&lt;=T34,"TAK","NIE")</f>
        <v>TAK</v>
      </c>
      <c r="U35" s="34" t="str">
        <f>IF(U36&lt;=U34,"TAK","NIE")</f>
        <v>TAK</v>
      </c>
      <c r="V35" s="34" t="str">
        <f>IF(V36&lt;=V34,"TAK","NIE")</f>
        <v>TAK</v>
      </c>
      <c r="W35" s="34" t="str">
        <f>IF(W36&lt;=W34,"TAK","NIE")</f>
        <v>TAK</v>
      </c>
      <c r="X35" s="34" t="str">
        <f>IF(X36&lt;=X34,"TAK","NIE")</f>
        <v>TAK</v>
      </c>
      <c r="Y35" s="34" t="str">
        <f>IF(Y36&lt;=Y34,"TAK","NIE")</f>
        <v>TAK</v>
      </c>
      <c r="Z35" s="34" t="str">
        <f>IF(Z36&lt;=Z34,"TAK","NIE")</f>
        <v>TAK</v>
      </c>
      <c r="AA35" s="34" t="str">
        <f>IF(AA36&lt;=AA34,"TAK","NIE")</f>
        <v>TAK</v>
      </c>
      <c r="AB35" s="34" t="str">
        <f>IF(AB36&lt;=AB34,"TAK","NIE")</f>
        <v>TAK</v>
      </c>
    </row>
    <row r="36" spans="1:28" ht="12.75">
      <c r="A36" s="11">
        <v>17</v>
      </c>
      <c r="B36" s="35" t="s">
        <v>45</v>
      </c>
      <c r="C36" s="36">
        <f>SUM(C20-C31+C12)/C5</f>
        <v>0.06405910593329357</v>
      </c>
      <c r="D36" s="36">
        <f>SUM(D20-D31+D12)/D5</f>
        <v>0.09000786764321199</v>
      </c>
      <c r="E36" s="36">
        <f>SUM(E20-E31+E12)/E5</f>
        <v>0.086062524227661</v>
      </c>
      <c r="F36" s="37">
        <v>0.08403320451050396</v>
      </c>
      <c r="G36" s="37">
        <v>0.08276115841166476</v>
      </c>
      <c r="H36" s="36">
        <f>SUM(H20-H50-H31+H12)/H5</f>
        <v>0.10512140358895622</v>
      </c>
      <c r="I36" s="36">
        <f>SUM(I20-I50-I31+I12)/I5</f>
        <v>0.10056031149629636</v>
      </c>
      <c r="J36" s="36">
        <f>SUM(J20-J50-J31+J12)/J5</f>
        <v>0.09926828543589035</v>
      </c>
      <c r="K36" s="36">
        <f>SUM(K20-K50-K31+K12)/K5</f>
        <v>0.06059333828524477</v>
      </c>
      <c r="L36" s="36">
        <f>SUM(L20-L50-L31+L12)/L5</f>
        <v>0.055767350206490165</v>
      </c>
      <c r="M36" s="36">
        <f>SUM(M20-M50-M31+M12)/M5</f>
        <v>0.05117647569365933</v>
      </c>
      <c r="N36" s="36">
        <f>SUM(N20-N50-N31+N12)/N5</f>
        <v>0.04681094909658263</v>
      </c>
      <c r="O36" s="36">
        <f>SUM(O20-O50-O31+O12)/O5</f>
        <v>0.04266145148525483</v>
      </c>
      <c r="P36" s="36">
        <f>SUM(P20-P50-P31+P12)/P5</f>
        <v>0.032517096613301565</v>
      </c>
      <c r="Q36" s="36">
        <f>SUM(Q20-Q50-Q31+Q12)/Q5</f>
        <v>0.01549467054304856</v>
      </c>
      <c r="R36" s="36">
        <f>SUM(R20-R50-R31+R12)/R5</f>
        <v>0.01438360531921923</v>
      </c>
      <c r="S36" s="36">
        <f>SUM(S20-S50-S31+S12)/S5</f>
        <v>0.013325278031621878</v>
      </c>
      <c r="T36" s="36">
        <f>SUM(T20-T50-T31+T12)/T5</f>
        <v>0.01231752387649187</v>
      </c>
      <c r="U36" s="36">
        <f>SUM(U20-U50-U31+U12)/U5</f>
        <v>0.011358260485915065</v>
      </c>
      <c r="V36" s="36">
        <f>SUM(V20-V50-V31+V12)/V5</f>
        <v>0.010445484929735075</v>
      </c>
      <c r="W36" s="36">
        <f>SUM(W20-W50-W31+W12)/W5</f>
        <v>0.009577270823159042</v>
      </c>
      <c r="X36" s="36">
        <f>SUM(X20-X50-X31+X12)/X5</f>
        <v>0.00875176553641824</v>
      </c>
      <c r="Y36" s="36">
        <f>SUM(Y20-Y50-Y31+Y12)/Y5</f>
        <v>0.007967187502963267</v>
      </c>
      <c r="Z36" s="36">
        <f>SUM(Z20-Z50-Z31+Z12)/Z5</f>
        <v>0.00722182362279302</v>
      </c>
      <c r="AA36" s="36">
        <f>SUM(AA20-AA50-AA31+AA12)/AA5</f>
        <v>0.006513707690918861</v>
      </c>
      <c r="AB36" s="36">
        <f>SUM(AB20-AB50-AB31+AB12)/AB5</f>
        <v>0.0025587898557995286</v>
      </c>
    </row>
    <row r="37" spans="1:28" ht="12.75">
      <c r="A37" s="11">
        <v>18</v>
      </c>
      <c r="B37" s="38" t="s">
        <v>46</v>
      </c>
      <c r="C37" s="28">
        <f>SUM(C29-C30)/C5</f>
        <v>0.3408796292869238</v>
      </c>
      <c r="D37" s="28">
        <f>SUM(D29-D30)/D5</f>
        <v>0.2846602655010411</v>
      </c>
      <c r="E37" s="28">
        <f>SUM(E29-E30)/E5</f>
        <v>0.37593907968241225</v>
      </c>
      <c r="F37" s="29">
        <v>0.36013352475191646</v>
      </c>
      <c r="G37" s="29">
        <v>0.35468203152503824</v>
      </c>
      <c r="H37" s="28">
        <f>SUM(H29-H30)/H5</f>
        <v>0.390571469611166</v>
      </c>
      <c r="I37" s="28">
        <f>SUM(I29-I30)/I5</f>
        <v>0.39525137646315395</v>
      </c>
      <c r="J37" s="28">
        <f>SUM(J29-J30)/J5</f>
        <v>0.33989970862932833</v>
      </c>
      <c r="K37" s="28">
        <f>SUM(K29-K30)/K5</f>
        <v>0.29286609640378997</v>
      </c>
      <c r="L37" s="28">
        <f>SUM(L29-L30)/L5</f>
        <v>0.24834968764292986</v>
      </c>
      <c r="M37" s="28">
        <f>SUM(M29-M30)/M5</f>
        <v>0.2062417526655427</v>
      </c>
      <c r="N37" s="28">
        <f>SUM(N29-N30)/N5</f>
        <v>0.16643782075872235</v>
      </c>
      <c r="O37" s="28">
        <f>SUM(O29-O30)/O5</f>
        <v>0.12883744299809813</v>
      </c>
      <c r="P37" s="28">
        <f>SUM(P29-P30)/P5</f>
        <v>0.10032848952885498</v>
      </c>
      <c r="Q37" s="28">
        <f>SUM(Q29-Q30)/Q5</f>
        <v>0.0887953077977207</v>
      </c>
      <c r="R37" s="28">
        <f>SUM(R29-R30)/R5</f>
        <v>0.077864078967371</v>
      </c>
      <c r="S37" s="28">
        <f>SUM(S29-S30)/S5</f>
        <v>0.06750905918879851</v>
      </c>
      <c r="T37" s="28">
        <f>SUM(T29-T30)/T5</f>
        <v>0.05770550764535778</v>
      </c>
      <c r="U37" s="28">
        <f>SUM(U29-U30)/U5</f>
        <v>0.0484296495366735</v>
      </c>
      <c r="V37" s="28">
        <f>SUM(V29-V30)/V5</f>
        <v>0.039658640380857715</v>
      </c>
      <c r="W37" s="28">
        <f>SUM(W29-W30)/W5</f>
        <v>0.031370531589250426</v>
      </c>
      <c r="X37" s="28">
        <f>SUM(X29-X30)/X5</f>
        <v>0.023544237269459676</v>
      </c>
      <c r="Y37" s="28">
        <f>SUM(Y29-Y30)/Y5</f>
        <v>0.01615950221398435</v>
      </c>
      <c r="Z37" s="28">
        <f>SUM(Z29-Z30)/Z5</f>
        <v>0.009196871033161271</v>
      </c>
      <c r="AA37" s="28">
        <f>SUM(AA29-AA30)/AA5</f>
        <v>0.0026379708427083873</v>
      </c>
      <c r="AB37" s="28">
        <f>SUM(AB29-AB30)/AB5</f>
        <v>1.0895968859524648E-17</v>
      </c>
    </row>
    <row r="38" spans="1:28" ht="12.75">
      <c r="A38" s="11">
        <v>19</v>
      </c>
      <c r="B38" s="12" t="s">
        <v>47</v>
      </c>
      <c r="C38" s="39">
        <f>SUM(C9,C22)</f>
        <v>46152445</v>
      </c>
      <c r="D38" s="39">
        <f>SUM(D9,D22)</f>
        <v>51664524</v>
      </c>
      <c r="E38" s="39">
        <f>SUM(E9,E22)</f>
        <v>54479628.2</v>
      </c>
      <c r="F38" s="40">
        <v>58428945.85</v>
      </c>
      <c r="G38" s="40">
        <v>59777797.15</v>
      </c>
      <c r="H38" s="39">
        <f>SUM(H9,H22)</f>
        <v>58843461</v>
      </c>
      <c r="I38" s="39">
        <f>SUM(I9,I22)</f>
        <v>51033300</v>
      </c>
      <c r="J38" s="39">
        <f>SUM(J9,J22)</f>
        <v>52564299</v>
      </c>
      <c r="K38" s="39">
        <f>SUM(K9,K22)</f>
        <v>54141227.97</v>
      </c>
      <c r="L38" s="39">
        <f>SUM(L9,L22)</f>
        <v>55765464.8091</v>
      </c>
      <c r="M38" s="39">
        <f>SUM(M9,M22)</f>
        <v>57438428.753373004</v>
      </c>
      <c r="N38" s="39">
        <f>SUM(N9,N22)</f>
        <v>59161581.615974195</v>
      </c>
      <c r="O38" s="39">
        <f>SUM(O9,O22)</f>
        <v>60936429.06445342</v>
      </c>
      <c r="P38" s="39">
        <f>SUM(P9,P22)</f>
        <v>62764521.936387025</v>
      </c>
      <c r="Q38" s="39">
        <f>SUM(Q9,Q22)</f>
        <v>64647457.59447864</v>
      </c>
      <c r="R38" s="39">
        <f>SUM(R9,R22)</f>
        <v>66586881.322312996</v>
      </c>
      <c r="S38" s="39">
        <f>SUM(S9,S22)</f>
        <v>68584487.76198238</v>
      </c>
      <c r="T38" s="39">
        <f>SUM(T9,T22)</f>
        <v>70642022.39484185</v>
      </c>
      <c r="U38" s="39">
        <f>SUM(U9,U22)</f>
        <v>72761283.0666871</v>
      </c>
      <c r="V38" s="39">
        <f>SUM(V9,V22)</f>
        <v>74944121.55868772</v>
      </c>
      <c r="W38" s="39">
        <f>SUM(W9,W22)</f>
        <v>77192445.20544834</v>
      </c>
      <c r="X38" s="39">
        <f>SUM(X9,X22)</f>
        <v>79508218.5616118</v>
      </c>
      <c r="Y38" s="39">
        <f>SUM(Y9,Y22)</f>
        <v>81893465.11846015</v>
      </c>
      <c r="Z38" s="39">
        <f>SUM(Z9,Z22)</f>
        <v>84350269.07201396</v>
      </c>
      <c r="AA38" s="39">
        <f>SUM(AA9,AA22)</f>
        <v>86880777.14417438</v>
      </c>
      <c r="AB38" s="39">
        <f>SUM(AB9,AB22)</f>
        <v>89487200.45849961</v>
      </c>
    </row>
    <row r="39" spans="1:28" ht="12.75">
      <c r="A39" s="11">
        <v>20</v>
      </c>
      <c r="B39" s="41" t="s">
        <v>48</v>
      </c>
      <c r="C39" s="39">
        <f>SUM(C25,C38)</f>
        <v>64898002</v>
      </c>
      <c r="D39" s="39">
        <f>SUM(D25,D38)</f>
        <v>71336733</v>
      </c>
      <c r="E39" s="39">
        <f>SUM(E25,E38)</f>
        <v>82713065.63</v>
      </c>
      <c r="F39" s="40">
        <v>96141121.85</v>
      </c>
      <c r="G39" s="40">
        <v>97489973.15</v>
      </c>
      <c r="H39" s="39">
        <f>SUM(H25,H38)</f>
        <v>83209032</v>
      </c>
      <c r="I39" s="39">
        <f>SUM(I25,I38)</f>
        <v>58385828</v>
      </c>
      <c r="J39" s="39">
        <f>SUM(J25,J38)</f>
        <v>55064299</v>
      </c>
      <c r="K39" s="39">
        <f>SUM(K25,K38)</f>
        <v>56641227.97</v>
      </c>
      <c r="L39" s="39">
        <f>SUM(L25,L38)</f>
        <v>58340464.8091</v>
      </c>
      <c r="M39" s="39">
        <f>SUM(M25,M38)</f>
        <v>60090678.753373004</v>
      </c>
      <c r="N39" s="39">
        <f>SUM(N25,N38)</f>
        <v>61893399.115974195</v>
      </c>
      <c r="O39" s="39">
        <f>SUM(O25,O38)</f>
        <v>63750201.08945342</v>
      </c>
      <c r="P39" s="39">
        <f>SUM(P25,P38)</f>
        <v>65662707.122137025</v>
      </c>
      <c r="Q39" s="39">
        <f>SUM(Q25,Q38)</f>
        <v>67632588.33580114</v>
      </c>
      <c r="R39" s="39">
        <f>SUM(R25,R38)</f>
        <v>69661565.98587517</v>
      </c>
      <c r="S39" s="39">
        <f>SUM(S25,S38)</f>
        <v>71751412.96545142</v>
      </c>
      <c r="T39" s="39">
        <f>SUM(T25,T38)</f>
        <v>73903955.35441495</v>
      </c>
      <c r="U39" s="39">
        <f>SUM(U25,U38)</f>
        <v>76121074.01504742</v>
      </c>
      <c r="V39" s="39">
        <f>SUM(V25,V38)</f>
        <v>78404706.23549883</v>
      </c>
      <c r="W39" s="39">
        <f>SUM(W25,W38)</f>
        <v>80756847.42256379</v>
      </c>
      <c r="X39" s="39">
        <f>SUM(X25,X38)</f>
        <v>83179552.84524071</v>
      </c>
      <c r="Y39" s="39">
        <f>SUM(Y25,Y38)</f>
        <v>85674939.43059793</v>
      </c>
      <c r="Z39" s="39">
        <f>SUM(Z25,Z38)</f>
        <v>88245187.61351587</v>
      </c>
      <c r="AA39" s="39">
        <f>SUM(AA25,AA38)</f>
        <v>90892543.24192135</v>
      </c>
      <c r="AB39" s="39">
        <f>SUM(AB25,AB38)</f>
        <v>93619319.53917898</v>
      </c>
    </row>
    <row r="40" spans="1:28" ht="12.75">
      <c r="A40" s="42">
        <v>21</v>
      </c>
      <c r="B40" s="43" t="s">
        <v>49</v>
      </c>
      <c r="C40" s="39">
        <f>SUM(C5-C39)</f>
        <v>-8295089</v>
      </c>
      <c r="D40" s="39">
        <f>SUM(D5-D39)</f>
        <v>-5698271</v>
      </c>
      <c r="E40" s="39">
        <f>SUM(E5-E39)</f>
        <v>-6646369.599999994</v>
      </c>
      <c r="F40" s="40">
        <v>-8382906</v>
      </c>
      <c r="G40" s="40">
        <v>-8382906</v>
      </c>
      <c r="H40" s="39">
        <f>SUM(H5-H39)</f>
        <v>-3042827</v>
      </c>
      <c r="I40" s="39">
        <f>SUM(I5-I39)</f>
        <v>9093360.951000005</v>
      </c>
      <c r="J40" s="39">
        <f>SUM(J5-J39)</f>
        <v>9754383.604480997</v>
      </c>
      <c r="K40" s="39">
        <f>SUM(K5-K39)</f>
        <v>10183193.111219913</v>
      </c>
      <c r="L40" s="39">
        <f>SUM(L5-L39)</f>
        <v>10551763.421117723</v>
      </c>
      <c r="M40" s="39">
        <f>SUM(M5-M39)</f>
        <v>10933346.150325872</v>
      </c>
      <c r="N40" s="39">
        <f>SUM(N5-N39)</f>
        <v>11328392.28603407</v>
      </c>
      <c r="O40" s="39">
        <f>SUM(O5-O39)</f>
        <v>11737368.224100687</v>
      </c>
      <c r="P40" s="39">
        <f>SUM(P5-P39)</f>
        <v>12160756.289563343</v>
      </c>
      <c r="Q40" s="39">
        <f>SUM(Q5-Q39)</f>
        <v>12599055.274570808</v>
      </c>
      <c r="R40" s="39">
        <f>SUM(R5-R39)</f>
        <v>13052780.994314432</v>
      </c>
      <c r="S40" s="39">
        <f>SUM(S5-S39)</f>
        <v>13522466.861557081</v>
      </c>
      <c r="T40" s="39">
        <f>SUM(T5-T39)</f>
        <v>14008664.48037681</v>
      </c>
      <c r="U40" s="39">
        <f>SUM(U5-U39)</f>
        <v>14511944.259763286</v>
      </c>
      <c r="V40" s="39">
        <f>SUM(V5-V39)</f>
        <v>15032896.047725603</v>
      </c>
      <c r="W40" s="39">
        <f>SUM(W5-W39)</f>
        <v>15572129.786592036</v>
      </c>
      <c r="X40" s="39">
        <f>SUM(X5-X39)</f>
        <v>16130276.190204918</v>
      </c>
      <c r="Y40" s="39">
        <f>SUM(Y5-Y39)</f>
        <v>16707987.443736658</v>
      </c>
      <c r="Z40" s="39">
        <f>SUM(Z5-Z39)</f>
        <v>17305937.926876947</v>
      </c>
      <c r="AA40" s="39">
        <f>SUM(AA5-AA39)</f>
        <v>17924824.96116613</v>
      </c>
      <c r="AB40" s="39">
        <f>SUM(AB5-AB39)</f>
        <v>18565369.58227496</v>
      </c>
    </row>
    <row r="41" spans="1:28" ht="12.75">
      <c r="A41" s="42">
        <v>22</v>
      </c>
      <c r="B41" s="43" t="s">
        <v>50</v>
      </c>
      <c r="C41" s="39">
        <f>SUM(C27,C16)</f>
        <v>16619580</v>
      </c>
      <c r="D41" s="39">
        <f>SUM(D27,D16)</f>
        <v>14873160</v>
      </c>
      <c r="E41" s="39">
        <f>SUM(E27,E16)</f>
        <v>18926628</v>
      </c>
      <c r="F41" s="40">
        <v>15084040</v>
      </c>
      <c r="G41" s="40">
        <v>15084040</v>
      </c>
      <c r="H41" s="39">
        <f>SUM(H27,H16)</f>
        <v>10323967.89</v>
      </c>
      <c r="I41" s="39">
        <f>SUM(I27,I16)</f>
        <v>750000</v>
      </c>
      <c r="J41" s="39">
        <f>SUM(J27,J16)</f>
        <v>9843360.951000005</v>
      </c>
      <c r="K41" s="39">
        <f>SUM(K27,K16)</f>
        <v>10504383.604480997</v>
      </c>
      <c r="L41" s="39">
        <f>SUM(L27,L16)</f>
        <v>10933193.111219913</v>
      </c>
      <c r="M41" s="39">
        <f>SUM(M27,M16)</f>
        <v>11301763.421117723</v>
      </c>
      <c r="N41" s="39">
        <f>SUM(N27,N16)</f>
        <v>11683346.150325872</v>
      </c>
      <c r="O41" s="39">
        <f>SUM(O27,O16)</f>
        <v>12078392.28603407</v>
      </c>
      <c r="P41" s="39">
        <f>SUM(P27,P16)</f>
        <v>12487368.224100687</v>
      </c>
      <c r="Q41" s="39">
        <f>SUM(Q27,Q16)</f>
        <v>12910756.289563343</v>
      </c>
      <c r="R41" s="39">
        <f>SUM(R27,R16)</f>
        <v>13349055.274570808</v>
      </c>
      <c r="S41" s="39">
        <f>SUM(S27,S16)</f>
        <v>13802780.994314432</v>
      </c>
      <c r="T41" s="39">
        <f>SUM(T27,T16)</f>
        <v>14272466.861557081</v>
      </c>
      <c r="U41" s="39">
        <f>SUM(U27,U16)</f>
        <v>14758664.48037681</v>
      </c>
      <c r="V41" s="39">
        <f>SUM(V27,V16)</f>
        <v>15261944.259763286</v>
      </c>
      <c r="W41" s="39">
        <f>SUM(W27,W16)</f>
        <v>15782896.047725603</v>
      </c>
      <c r="X41" s="39">
        <f>SUM(X27,X16)</f>
        <v>16322129.786592036</v>
      </c>
      <c r="Y41" s="39">
        <f>SUM(Y27,Y16)</f>
        <v>16880276.19020492</v>
      </c>
      <c r="Z41" s="39">
        <f>SUM(Z27,Z16)</f>
        <v>17457987.443736658</v>
      </c>
      <c r="AA41" s="39">
        <f>SUM(AA27,AA16)</f>
        <v>18055937.926876947</v>
      </c>
      <c r="AB41" s="39">
        <f>SUM(AB27,AB16)</f>
        <v>18674824.96116613</v>
      </c>
    </row>
    <row r="42" spans="1:28" ht="12.75">
      <c r="A42" s="42">
        <v>23</v>
      </c>
      <c r="B42" s="43" t="s">
        <v>51</v>
      </c>
      <c r="C42" s="44">
        <f>SUM(C21,C23)</f>
        <v>4216859</v>
      </c>
      <c r="D42" s="44">
        <f>SUM(D21,D23)</f>
        <v>5932009</v>
      </c>
      <c r="E42" s="44">
        <f>SUM(E21,E23)</f>
        <v>6476116.28</v>
      </c>
      <c r="F42" s="45">
        <v>6701134</v>
      </c>
      <c r="G42" s="45">
        <v>6701134</v>
      </c>
      <c r="H42" s="44">
        <f>SUM(H21,H23)</f>
        <v>7281140.890000001</v>
      </c>
      <c r="I42" s="44">
        <f>SUM(I21,I23)</f>
        <v>5854825.4345</v>
      </c>
      <c r="J42" s="44">
        <f>SUM(J21,J23)</f>
        <v>5854826.2345</v>
      </c>
      <c r="K42" s="44">
        <f>SUM(K21,K23)</f>
        <v>3452962.2345</v>
      </c>
      <c r="L42" s="44">
        <f>SUM(L21,L23)</f>
        <v>3452962.2345</v>
      </c>
      <c r="M42" s="44">
        <f>SUM(M21,M23)</f>
        <v>3452962.2345</v>
      </c>
      <c r="N42" s="44">
        <f>SUM(N21,N23)</f>
        <v>3452962.2345</v>
      </c>
      <c r="O42" s="44">
        <f>SUM(O21,O23)</f>
        <v>3452971.2345</v>
      </c>
      <c r="P42" s="44">
        <f>SUM(P21,P23)</f>
        <v>2438018.1245</v>
      </c>
      <c r="Q42" s="44">
        <f>SUM(Q21,Q23)</f>
        <v>890539.3945</v>
      </c>
      <c r="R42" s="44">
        <f>SUM(R21,R23)</f>
        <v>890539.3945</v>
      </c>
      <c r="S42" s="44">
        <f>SUM(S21,S23)</f>
        <v>890539.3945</v>
      </c>
      <c r="T42" s="44">
        <f>SUM(T21,T23)</f>
        <v>890539.3945</v>
      </c>
      <c r="U42" s="44">
        <f>SUM(U21,U23)</f>
        <v>890539.3945</v>
      </c>
      <c r="V42" s="44">
        <f>SUM(V21,V23)</f>
        <v>890539.3945</v>
      </c>
      <c r="W42" s="44">
        <f>SUM(W21,W23)</f>
        <v>890539.3945</v>
      </c>
      <c r="X42" s="44">
        <f>SUM(X21,X23)</f>
        <v>890539.3945</v>
      </c>
      <c r="Y42" s="44">
        <f>SUM(Y21,Y23)</f>
        <v>890539.3945</v>
      </c>
      <c r="Z42" s="44">
        <f>SUM(Z21,Z23)</f>
        <v>890539.3945</v>
      </c>
      <c r="AA42" s="44">
        <f>SUM(AA21,AA23)</f>
        <v>890551.3945</v>
      </c>
      <c r="AB42" s="44">
        <f>SUM(AB21,AB23)</f>
        <v>418691.39450000005</v>
      </c>
    </row>
    <row r="43" spans="2:7" ht="12.75">
      <c r="B43" t="s">
        <v>52</v>
      </c>
      <c r="F43" s="5"/>
      <c r="G43" s="5"/>
    </row>
    <row r="44" spans="6:27" ht="12.75">
      <c r="F44" s="5"/>
      <c r="G44" s="5"/>
      <c r="Y44" s="46"/>
      <c r="Z44" s="46"/>
      <c r="AA44" s="46"/>
    </row>
    <row r="45" spans="6:27" ht="12.75">
      <c r="F45" s="5"/>
      <c r="G45" s="5"/>
      <c r="Y45" s="46"/>
      <c r="Z45" s="46"/>
      <c r="AA45" s="46"/>
    </row>
    <row r="46" spans="1:28" ht="12.75">
      <c r="A46" s="47"/>
      <c r="B46" s="47"/>
      <c r="C46" s="47"/>
      <c r="D46" s="47"/>
      <c r="E46" s="47"/>
      <c r="F46" s="47">
        <v>2011</v>
      </c>
      <c r="G46" s="47"/>
      <c r="H46" s="47">
        <v>2012</v>
      </c>
      <c r="I46" s="47">
        <v>2013</v>
      </c>
      <c r="J46" s="47">
        <v>2014</v>
      </c>
      <c r="K46" s="47">
        <v>2015</v>
      </c>
      <c r="L46" s="47">
        <v>2016</v>
      </c>
      <c r="M46" s="47">
        <v>2017</v>
      </c>
      <c r="N46" s="47">
        <v>2018</v>
      </c>
      <c r="O46" s="47">
        <v>2019</v>
      </c>
      <c r="P46" s="47">
        <v>2020</v>
      </c>
      <c r="Q46" s="47">
        <v>2021</v>
      </c>
      <c r="R46" s="47">
        <v>2022</v>
      </c>
      <c r="S46" s="47">
        <v>2023</v>
      </c>
      <c r="T46" s="47">
        <v>2024</v>
      </c>
      <c r="U46" s="47">
        <v>2025</v>
      </c>
      <c r="V46" s="47">
        <v>2026</v>
      </c>
      <c r="W46" s="47">
        <v>2027</v>
      </c>
      <c r="X46" s="47">
        <v>2028</v>
      </c>
      <c r="Y46" s="47">
        <v>2029</v>
      </c>
      <c r="Z46" s="47">
        <v>2030</v>
      </c>
      <c r="AA46" s="47">
        <v>2031</v>
      </c>
      <c r="AB46" s="47">
        <v>2032</v>
      </c>
    </row>
    <row r="47" spans="1:28" ht="12.75">
      <c r="A47" s="47"/>
      <c r="B47" s="47"/>
      <c r="C47" s="47"/>
      <c r="D47" s="47"/>
      <c r="E47" s="47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1:28" ht="12.75">
      <c r="A48" s="48"/>
      <c r="B48" s="49" t="s">
        <v>53</v>
      </c>
      <c r="C48" s="50">
        <f>zał2!B10</f>
        <v>46152445</v>
      </c>
      <c r="D48" s="50">
        <f>zał2!C10</f>
        <v>51664524</v>
      </c>
      <c r="E48" s="50">
        <f>zał2!D10</f>
        <v>54479628.2</v>
      </c>
      <c r="F48" s="50">
        <f>zał2!E10</f>
        <v>58428945.85</v>
      </c>
      <c r="G48" s="51"/>
      <c r="H48" s="50">
        <f>zał2!F10</f>
        <v>58843461</v>
      </c>
      <c r="I48" s="50">
        <f>zał2!G10</f>
        <v>51033300</v>
      </c>
      <c r="J48" s="50">
        <f>zał2!H10</f>
        <v>52564299</v>
      </c>
      <c r="K48" s="50">
        <f>zał2!I10</f>
        <v>54141227.97</v>
      </c>
      <c r="L48" s="50">
        <f>zał2!J10</f>
        <v>55765464.8091</v>
      </c>
      <c r="M48" s="50">
        <f>zał2!K10</f>
        <v>57438428.753373004</v>
      </c>
      <c r="N48" s="50">
        <f>zał2!L10</f>
        <v>59161581.615974195</v>
      </c>
      <c r="O48" s="50">
        <f>zał2!M10</f>
        <v>60936429.06445342</v>
      </c>
      <c r="P48" s="50">
        <f>zał2!N10</f>
        <v>62764521.936387025</v>
      </c>
      <c r="Q48" s="50">
        <f>zał2!O10</f>
        <v>64647457.59447864</v>
      </c>
      <c r="R48" s="50">
        <f>zał2!P10</f>
        <v>66586881.322312996</v>
      </c>
      <c r="S48" s="50">
        <f>zał2!Q10</f>
        <v>68584487.76198238</v>
      </c>
      <c r="T48" s="50">
        <f>zał2!R10</f>
        <v>70642022.39484185</v>
      </c>
      <c r="U48" s="50">
        <f>zał2!S10</f>
        <v>72761283.0666871</v>
      </c>
      <c r="V48" s="50">
        <f>zał2!T10</f>
        <v>74944121.55868772</v>
      </c>
      <c r="W48" s="50">
        <f>zał2!U10</f>
        <v>77192445.20544834</v>
      </c>
      <c r="X48" s="50">
        <f>zał2!V10</f>
        <v>79508218.5616118</v>
      </c>
      <c r="Y48" s="50">
        <f>zał2!W10</f>
        <v>81893465.11846015</v>
      </c>
      <c r="Z48" s="50">
        <f>zał2!X10</f>
        <v>84350269.07201396</v>
      </c>
      <c r="AA48" s="50">
        <f>zał2!Y10</f>
        <v>86880777.14417438</v>
      </c>
      <c r="AB48" s="50">
        <f>zał2!Z10</f>
        <v>89487200.45849961</v>
      </c>
    </row>
    <row r="49" spans="1:28" ht="12.75">
      <c r="A49" s="48"/>
      <c r="B49" s="49" t="s">
        <v>54</v>
      </c>
      <c r="C49" s="50"/>
      <c r="D49" s="50"/>
      <c r="E49" s="50"/>
      <c r="F49" s="50">
        <f>zał2!E37</f>
        <v>2000000</v>
      </c>
      <c r="G49" s="50"/>
      <c r="H49" s="50">
        <f>zał2!F37</f>
        <v>2200000</v>
      </c>
      <c r="I49" s="50">
        <f>zał2!G37</f>
        <v>2146338.07593</v>
      </c>
      <c r="J49" s="50">
        <f>zał2!H37</f>
        <v>1795048.5018600002</v>
      </c>
      <c r="K49" s="50">
        <f>zał2!I37</f>
        <v>1587870.7677900002</v>
      </c>
      <c r="L49" s="50">
        <f>zał2!J37</f>
        <v>1380693.0337200004</v>
      </c>
      <c r="M49" s="50">
        <f>zał2!K37</f>
        <v>1173515.2996500004</v>
      </c>
      <c r="N49" s="50">
        <f>zał2!L37</f>
        <v>966337.5655800004</v>
      </c>
      <c r="O49" s="50">
        <f>zał2!M37</f>
        <v>759159.2915100005</v>
      </c>
      <c r="P49" s="50">
        <f>zał2!N37</f>
        <v>612878.2040400004</v>
      </c>
      <c r="Q49" s="50">
        <f>zał2!O37</f>
        <v>559445.8403700005</v>
      </c>
      <c r="R49" s="50">
        <f>zał2!P37</f>
        <v>506013.47670000046</v>
      </c>
      <c r="S49" s="50">
        <f>zał2!Q37</f>
        <v>452581.1130300004</v>
      </c>
      <c r="T49" s="50">
        <f>zał2!R37</f>
        <v>399148.7493600004</v>
      </c>
      <c r="U49" s="50">
        <f>zał2!S37</f>
        <v>345716.3856900004</v>
      </c>
      <c r="V49" s="50">
        <f>zał2!T37</f>
        <v>292284.0220200004</v>
      </c>
      <c r="W49" s="50">
        <f>zał2!U37</f>
        <v>238851.65835000036</v>
      </c>
      <c r="X49" s="50">
        <f>zał2!V37</f>
        <v>185419.29468000037</v>
      </c>
      <c r="Y49" s="50">
        <f>zał2!W37</f>
        <v>131986.93101000038</v>
      </c>
      <c r="Z49" s="50">
        <f>zał2!X37</f>
        <v>78554.56734000039</v>
      </c>
      <c r="AA49" s="50">
        <f>zał2!Y37</f>
        <v>25121.48367000038</v>
      </c>
      <c r="AB49" s="50">
        <f>zał2!Z37</f>
        <v>0</v>
      </c>
    </row>
    <row r="50" spans="1:28" ht="12.75">
      <c r="A50" s="48"/>
      <c r="B50" s="49" t="s">
        <v>55</v>
      </c>
      <c r="C50" s="50"/>
      <c r="D50" s="50"/>
      <c r="E50" s="50"/>
      <c r="F50" s="51">
        <v>300000</v>
      </c>
      <c r="G50" s="51"/>
      <c r="H50" s="51">
        <v>200000</v>
      </c>
      <c r="I50" s="50">
        <f>zał2!G15*0.03</f>
        <v>0</v>
      </c>
      <c r="J50" s="50">
        <f>zał2!H15*0.03</f>
        <v>0</v>
      </c>
      <c r="K50" s="50">
        <f>zał2!I15*0.03</f>
        <v>0</v>
      </c>
      <c r="L50" s="50">
        <f>zał2!J15*0.03</f>
        <v>0</v>
      </c>
      <c r="M50" s="50">
        <f>zał2!K15*0.03</f>
        <v>0</v>
      </c>
      <c r="N50" s="50">
        <f>zał2!L15*0.03</f>
        <v>0</v>
      </c>
      <c r="O50" s="50">
        <f>zał2!M15*0.03</f>
        <v>0</v>
      </c>
      <c r="P50" s="50">
        <f>zał2!N15*0.03</f>
        <v>0</v>
      </c>
      <c r="Q50" s="50">
        <f>zał2!O15*0.03</f>
        <v>0</v>
      </c>
      <c r="R50" s="50">
        <f>zał2!P15*0.03</f>
        <v>0</v>
      </c>
      <c r="S50" s="50">
        <f>zał2!Q15*0.03</f>
        <v>0</v>
      </c>
      <c r="T50" s="50">
        <f>zał2!R15*0.03</f>
        <v>0</v>
      </c>
      <c r="U50" s="50">
        <f>zał2!S15*0.03</f>
        <v>0</v>
      </c>
      <c r="V50" s="50">
        <f>zał2!T15*0.03</f>
        <v>0</v>
      </c>
      <c r="W50" s="50">
        <f>zał2!U15*0.03</f>
        <v>0</v>
      </c>
      <c r="X50" s="50">
        <f>zał2!V15*0.03</f>
        <v>0</v>
      </c>
      <c r="Y50" s="50">
        <f>zał2!W15*0.03</f>
        <v>0</v>
      </c>
      <c r="Z50" s="50">
        <f>zał2!X15*0.03</f>
        <v>0</v>
      </c>
      <c r="AA50" s="50">
        <f>zał2!Y15*0.03</f>
        <v>0</v>
      </c>
      <c r="AB50" s="50">
        <f>zał2!Z15*0.03</f>
        <v>0</v>
      </c>
    </row>
    <row r="51" spans="1:28" ht="12.75">
      <c r="A51" s="48"/>
      <c r="B51" s="49" t="s">
        <v>56</v>
      </c>
      <c r="C51" s="51">
        <v>789474</v>
      </c>
      <c r="D51" s="51">
        <v>1074774</v>
      </c>
      <c r="E51" s="50">
        <f>zał2!D37</f>
        <v>1251424.59</v>
      </c>
      <c r="F51" s="50">
        <f>SUM(F49:F50)</f>
        <v>2300000</v>
      </c>
      <c r="G51" s="50"/>
      <c r="H51" s="50">
        <f>SUM(H49:H50)</f>
        <v>2400000</v>
      </c>
      <c r="I51" s="50">
        <f>SUM(I49:I50)</f>
        <v>2146338.07593</v>
      </c>
      <c r="J51" s="50">
        <f>SUM(J49:J50)</f>
        <v>1795048.5018600002</v>
      </c>
      <c r="K51" s="50">
        <f>SUM(K49:K50)</f>
        <v>1587870.7677900002</v>
      </c>
      <c r="L51" s="50">
        <f>SUM(L49:L50)</f>
        <v>1380693.0337200004</v>
      </c>
      <c r="M51" s="50">
        <f>SUM(M49:M50)</f>
        <v>1173515.2996500004</v>
      </c>
      <c r="N51" s="50">
        <f>SUM(N49:N50)</f>
        <v>966337.5655800004</v>
      </c>
      <c r="O51" s="50">
        <f>SUM(O49:O50)</f>
        <v>759159.2915100005</v>
      </c>
      <c r="P51" s="50">
        <f>SUM(P49:P50)</f>
        <v>612878.2040400004</v>
      </c>
      <c r="Q51" s="50">
        <f>SUM(Q49:Q50)</f>
        <v>559445.8403700005</v>
      </c>
      <c r="R51" s="50">
        <f>SUM(R49:R50)</f>
        <v>506013.47670000046</v>
      </c>
      <c r="S51" s="50">
        <f>SUM(S49:S50)</f>
        <v>452581.1130300004</v>
      </c>
      <c r="T51" s="50">
        <f>SUM(T49:T50)</f>
        <v>399148.7493600004</v>
      </c>
      <c r="U51" s="50">
        <f>SUM(U49:U50)</f>
        <v>345716.3856900004</v>
      </c>
      <c r="V51" s="50">
        <f>SUM(V49:V50)</f>
        <v>292284.0220200004</v>
      </c>
      <c r="W51" s="50">
        <f>SUM(W49:W50)</f>
        <v>238851.65835000036</v>
      </c>
      <c r="X51" s="50">
        <f>SUM(X49:X50)</f>
        <v>185419.29468000037</v>
      </c>
      <c r="Y51" s="50">
        <f>SUM(Y49:Y50)</f>
        <v>131986.93101000038</v>
      </c>
      <c r="Z51" s="50">
        <f>SUM(Z49:Z50)</f>
        <v>78554.56734000039</v>
      </c>
      <c r="AA51" s="50">
        <f>SUM(AA49:AA50)</f>
        <v>25121.48367000038</v>
      </c>
      <c r="AB51" s="50">
        <f>SUM(AB49:AB50)</f>
        <v>0</v>
      </c>
    </row>
    <row r="52" spans="1:28" ht="12.75">
      <c r="A52" s="48"/>
      <c r="B52" s="49" t="s">
        <v>57</v>
      </c>
      <c r="C52" s="52">
        <f>SUM(C48-C51)</f>
        <v>45362971</v>
      </c>
      <c r="D52" s="52">
        <f>SUM(D48-D51)</f>
        <v>50589750</v>
      </c>
      <c r="E52" s="52">
        <f>SUM(E48-E51)</f>
        <v>53228203.61</v>
      </c>
      <c r="F52" s="52">
        <f>SUM(F48-F51)</f>
        <v>56128945.85</v>
      </c>
      <c r="G52" s="52"/>
      <c r="H52" s="52">
        <f>SUM(H48-H51)</f>
        <v>56443461</v>
      </c>
      <c r="I52" s="52">
        <f>SUM(I48-I51)</f>
        <v>48886961.92407</v>
      </c>
      <c r="J52" s="52">
        <f>SUM(J48-J51)</f>
        <v>50769250.49814</v>
      </c>
      <c r="K52" s="52">
        <f>SUM(K48-K51)</f>
        <v>52553357.20221</v>
      </c>
      <c r="L52" s="52">
        <f>SUM(L48-L51)</f>
        <v>54384771.77538</v>
      </c>
      <c r="M52" s="52">
        <f>SUM(M48-M51)</f>
        <v>56264913.453723006</v>
      </c>
      <c r="N52" s="52">
        <f>SUM(N48-N51)</f>
        <v>58195244.05039419</v>
      </c>
      <c r="O52" s="52">
        <f>SUM(O48-O51)</f>
        <v>60177269.77294342</v>
      </c>
      <c r="P52" s="52">
        <f>SUM(P48-P51)</f>
        <v>62151643.73234703</v>
      </c>
      <c r="Q52" s="52">
        <f>SUM(Q48-Q51)</f>
        <v>64088011.75410864</v>
      </c>
      <c r="R52" s="52">
        <f>SUM(R48-R51)</f>
        <v>66080867.845612995</v>
      </c>
      <c r="S52" s="52">
        <f>SUM(S48-S51)</f>
        <v>68131906.64895238</v>
      </c>
      <c r="T52" s="52">
        <f>SUM(T48-T51)</f>
        <v>70242873.64548185</v>
      </c>
      <c r="U52" s="52">
        <f>SUM(U48-U51)</f>
        <v>72415566.6809971</v>
      </c>
      <c r="V52" s="52">
        <f>SUM(V48-V51)</f>
        <v>74651837.53666772</v>
      </c>
      <c r="W52" s="52">
        <f>SUM(W48-W51)</f>
        <v>76953593.54709834</v>
      </c>
      <c r="X52" s="52">
        <f>SUM(X48-X51)</f>
        <v>79322799.2669318</v>
      </c>
      <c r="Y52" s="52">
        <f>SUM(Y48-Y51)</f>
        <v>81761478.18745016</v>
      </c>
      <c r="Z52" s="52">
        <f>SUM(Z48-Z51)</f>
        <v>84271714.50467396</v>
      </c>
      <c r="AA52" s="52">
        <f>SUM(AA48-AA51)</f>
        <v>86855655.66050439</v>
      </c>
      <c r="AB52" s="52">
        <f>SUM(AB48-AB51)</f>
        <v>89487200.45849961</v>
      </c>
    </row>
    <row r="53" spans="1:28" ht="12.75">
      <c r="A53" s="47"/>
      <c r="B53" s="4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ht="12.75">
      <c r="A54" s="47"/>
      <c r="B54" s="4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ht="12.75">
      <c r="A55" s="47"/>
      <c r="B55" s="53" t="s">
        <v>58</v>
      </c>
      <c r="C55" s="52"/>
      <c r="D55" s="52"/>
      <c r="E55" s="54">
        <v>0</v>
      </c>
      <c r="F55" s="51">
        <v>0</v>
      </c>
      <c r="G55" s="51"/>
      <c r="H55" s="55">
        <v>0</v>
      </c>
      <c r="I55" s="50">
        <f>zał2!G12</f>
        <v>9093360.951000005</v>
      </c>
      <c r="J55" s="50">
        <f>zał2!H12</f>
        <v>9754383.604480997</v>
      </c>
      <c r="K55" s="50">
        <f>zał2!I12</f>
        <v>10183193.111219913</v>
      </c>
      <c r="L55" s="50">
        <f>zał2!J12</f>
        <v>10551763.421117723</v>
      </c>
      <c r="M55" s="50">
        <f>zał2!K12</f>
        <v>10933346.150325872</v>
      </c>
      <c r="N55" s="50">
        <f>zał2!L12</f>
        <v>11328392.28603407</v>
      </c>
      <c r="O55" s="50">
        <f>zał2!M12</f>
        <v>11737368.224100687</v>
      </c>
      <c r="P55" s="50">
        <f>zał2!N12</f>
        <v>12160756.289563343</v>
      </c>
      <c r="Q55" s="50">
        <f>zał2!O12</f>
        <v>12599055.274570808</v>
      </c>
      <c r="R55" s="50">
        <f>zał2!P12</f>
        <v>13052780.994314432</v>
      </c>
      <c r="S55" s="50">
        <f>zał2!Q12</f>
        <v>13522466.861557081</v>
      </c>
      <c r="T55" s="50">
        <f>zał2!R12</f>
        <v>14008664.48037681</v>
      </c>
      <c r="U55" s="50">
        <f>zał2!S12</f>
        <v>14511944.259763286</v>
      </c>
      <c r="V55" s="50">
        <f>zał2!T12</f>
        <v>15032896.047725603</v>
      </c>
      <c r="W55" s="50">
        <f>zał2!U12</f>
        <v>15572129.786592036</v>
      </c>
      <c r="X55" s="50">
        <f>zał2!V12</f>
        <v>16130276.190204918</v>
      </c>
      <c r="Y55" s="50">
        <f>zał2!W12</f>
        <v>16707987.443736658</v>
      </c>
      <c r="Z55" s="50">
        <f>zał2!X12</f>
        <v>17305937.926876947</v>
      </c>
      <c r="AA55" s="50">
        <f>zał2!Y12</f>
        <v>17924824.96116613</v>
      </c>
      <c r="AB55" s="50">
        <f>zał2!Z12</f>
        <v>18565369.58227496</v>
      </c>
    </row>
    <row r="56" spans="1:28" ht="12.75">
      <c r="A56" s="47"/>
      <c r="B56" s="53" t="s">
        <v>59</v>
      </c>
      <c r="C56" s="50"/>
      <c r="D56" s="50"/>
      <c r="E56" s="54"/>
      <c r="F56" s="56">
        <f>zał2!E22</f>
        <v>5882992</v>
      </c>
      <c r="G56" s="56"/>
      <c r="H56" s="56">
        <f>zał2!F22</f>
        <v>1950140</v>
      </c>
      <c r="I56" s="56">
        <f>zał2!G22</f>
        <v>750000</v>
      </c>
      <c r="J56" s="56">
        <f>zał2!H22</f>
        <v>750000</v>
      </c>
      <c r="K56" s="56">
        <f>zał2!I22</f>
        <v>750000</v>
      </c>
      <c r="L56" s="56">
        <f>zał2!J22</f>
        <v>750000</v>
      </c>
      <c r="M56" s="56">
        <f>zał2!K22</f>
        <v>750000</v>
      </c>
      <c r="N56" s="56">
        <f>zał2!L22</f>
        <v>750000</v>
      </c>
      <c r="O56" s="56">
        <f>zał2!M22</f>
        <v>750000</v>
      </c>
      <c r="P56" s="56">
        <f>zał2!N22</f>
        <v>750000</v>
      </c>
      <c r="Q56" s="56">
        <f>zał2!O22</f>
        <v>750000</v>
      </c>
      <c r="R56" s="56">
        <f>zał2!P22</f>
        <v>750000</v>
      </c>
      <c r="S56" s="56">
        <f>zał2!Q22</f>
        <v>750000</v>
      </c>
      <c r="T56" s="56">
        <f>zał2!R22</f>
        <v>750000</v>
      </c>
      <c r="U56" s="56">
        <f>zał2!S22</f>
        <v>750000</v>
      </c>
      <c r="V56" s="56">
        <f>zał2!T22</f>
        <v>750000</v>
      </c>
      <c r="W56" s="56">
        <f>zał2!U22</f>
        <v>750000</v>
      </c>
      <c r="X56" s="56">
        <f>zał2!V22</f>
        <v>750000</v>
      </c>
      <c r="Y56" s="56">
        <f>zał2!W22</f>
        <v>750000</v>
      </c>
      <c r="Z56" s="56">
        <f>zał2!X22</f>
        <v>750000</v>
      </c>
      <c r="AA56" s="56">
        <f>zał2!Y22</f>
        <v>750000</v>
      </c>
      <c r="AB56" s="56">
        <f>zał2!Z22</f>
        <v>750000</v>
      </c>
    </row>
    <row r="57" spans="1:28" ht="12.75">
      <c r="A57" s="47"/>
      <c r="B57" s="57" t="s">
        <v>23</v>
      </c>
      <c r="C57" s="58"/>
      <c r="D57" s="58"/>
      <c r="E57" s="58"/>
      <c r="F57" s="52">
        <f>SUM(E55+F56)</f>
        <v>5882992</v>
      </c>
      <c r="G57" s="52"/>
      <c r="H57" s="52">
        <f>SUM(F55+H56)</f>
        <v>1950140</v>
      </c>
      <c r="I57" s="52">
        <f>SUM(H55+I56)</f>
        <v>750000</v>
      </c>
      <c r="J57" s="52">
        <f>SUM(I55+J56)</f>
        <v>9843360.951000005</v>
      </c>
      <c r="K57" s="52">
        <f>SUM(J55+K56)</f>
        <v>10504383.604480997</v>
      </c>
      <c r="L57" s="52">
        <f>SUM(K55+L56)</f>
        <v>10933193.111219913</v>
      </c>
      <c r="M57" s="52">
        <f>SUM(L55+M56)</f>
        <v>11301763.421117723</v>
      </c>
      <c r="N57" s="52">
        <f>SUM(M55+N56)</f>
        <v>11683346.150325872</v>
      </c>
      <c r="O57" s="52">
        <f>SUM(N55+O56)</f>
        <v>12078392.28603407</v>
      </c>
      <c r="P57" s="52">
        <f>SUM(O55+P56)</f>
        <v>12487368.224100687</v>
      </c>
      <c r="Q57" s="52">
        <f>SUM(P55+Q56)</f>
        <v>12910756.289563343</v>
      </c>
      <c r="R57" s="52">
        <f>SUM(Q55+R56)</f>
        <v>13349055.274570808</v>
      </c>
      <c r="S57" s="52">
        <f>SUM(R55+S56)</f>
        <v>13802780.994314432</v>
      </c>
      <c r="T57" s="52">
        <f>SUM(S55+T56)</f>
        <v>14272466.861557081</v>
      </c>
      <c r="U57" s="52">
        <f>SUM(T55+U56)</f>
        <v>14758664.48037681</v>
      </c>
      <c r="V57" s="52">
        <f>SUM(U55+V56)</f>
        <v>15261944.259763286</v>
      </c>
      <c r="W57" s="52">
        <f>SUM(V55+W56)</f>
        <v>15782896.047725603</v>
      </c>
      <c r="X57" s="52">
        <f>SUM(W55+X56)</f>
        <v>16322129.786592036</v>
      </c>
      <c r="Y57" s="52">
        <f>SUM(X55+Y56)</f>
        <v>16880276.19020492</v>
      </c>
      <c r="Z57" s="52">
        <f>SUM(Y55+Z56)</f>
        <v>17457987.443736658</v>
      </c>
      <c r="AA57" s="52">
        <f>SUM(Z55+AA56)</f>
        <v>18055937.926876947</v>
      </c>
      <c r="AB57" s="52">
        <f>SUM(AA55+AB56)</f>
        <v>18674824.96116613</v>
      </c>
    </row>
    <row r="58" spans="1:28" ht="12.75">
      <c r="A58" s="47"/>
      <c r="B58" s="4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ht="12.75">
      <c r="A59" s="47"/>
      <c r="B59" s="4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1:28" ht="12.75">
      <c r="A60" s="47"/>
      <c r="B60" s="47"/>
      <c r="C60" s="47"/>
      <c r="D60" s="47"/>
      <c r="E60" s="47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6:7" ht="12.75">
      <c r="F61" s="5"/>
      <c r="G61" s="5"/>
    </row>
    <row r="62" spans="6:7" ht="12.75">
      <c r="F62" s="5"/>
      <c r="G62" s="5"/>
    </row>
  </sheetData>
  <sheetProtection selectLockedCells="1" selectUnlockedCells="1"/>
  <mergeCells count="8">
    <mergeCell ref="B1:N1"/>
    <mergeCell ref="AA1:AB1"/>
    <mergeCell ref="AA2:AB2"/>
    <mergeCell ref="A3:A4"/>
    <mergeCell ref="B3:B4"/>
    <mergeCell ref="C3:AB3"/>
    <mergeCell ref="Y44:AA44"/>
    <mergeCell ref="Y45:AA45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workbookViewId="0" topLeftCell="A64">
      <selection activeCell="C69" sqref="C69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4" width="15.71093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 t="s">
        <v>60</v>
      </c>
      <c r="Z1" s="60"/>
    </row>
    <row r="2" spans="1:26" ht="39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 t="str">
        <f>zał3!J2</f>
        <v>Do Uchwały XVIII/110/2012
Rady Miejskiej w Gołdapi
z dnia 28 lutego  2012r.</v>
      </c>
      <c r="Z2" s="60"/>
    </row>
    <row r="3" spans="1:27" ht="21" customHeight="1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 t="s">
        <v>62</v>
      </c>
      <c r="Z3" s="61"/>
      <c r="AA3" t="s">
        <v>63</v>
      </c>
    </row>
    <row r="4" spans="1:26" ht="12.75">
      <c r="A4" s="62"/>
      <c r="B4" s="63" t="s">
        <v>64</v>
      </c>
      <c r="C4" s="63" t="s">
        <v>65</v>
      </c>
      <c r="D4" s="63" t="s">
        <v>66</v>
      </c>
      <c r="E4" s="63" t="s">
        <v>5</v>
      </c>
      <c r="F4" s="64" t="s">
        <v>67</v>
      </c>
      <c r="G4" s="63" t="s">
        <v>68</v>
      </c>
      <c r="H4" s="63" t="s">
        <v>69</v>
      </c>
      <c r="I4" s="63" t="s">
        <v>70</v>
      </c>
      <c r="J4" s="63" t="s">
        <v>71</v>
      </c>
      <c r="K4" s="63" t="s">
        <v>72</v>
      </c>
      <c r="L4" s="63" t="s">
        <v>73</v>
      </c>
      <c r="M4" s="63" t="s">
        <v>74</v>
      </c>
      <c r="N4" s="63" t="s">
        <v>75</v>
      </c>
      <c r="O4" s="63" t="s">
        <v>76</v>
      </c>
      <c r="P4" s="63" t="s">
        <v>77</v>
      </c>
      <c r="Q4" s="63" t="s">
        <v>78</v>
      </c>
      <c r="R4" s="63" t="s">
        <v>79</v>
      </c>
      <c r="S4" s="63" t="s">
        <v>80</v>
      </c>
      <c r="T4" s="63" t="s">
        <v>81</v>
      </c>
      <c r="U4" s="63" t="s">
        <v>82</v>
      </c>
      <c r="V4" s="63" t="s">
        <v>83</v>
      </c>
      <c r="W4" s="63" t="s">
        <v>84</v>
      </c>
      <c r="X4" s="63" t="s">
        <v>85</v>
      </c>
      <c r="Y4" s="63" t="s">
        <v>86</v>
      </c>
      <c r="Z4" s="63" t="s">
        <v>87</v>
      </c>
    </row>
    <row r="5" spans="1:26" ht="24.75" customHeight="1">
      <c r="A5" s="65" t="s">
        <v>88</v>
      </c>
      <c r="B5" s="66">
        <f>B6+B7</f>
        <v>56602913</v>
      </c>
      <c r="C5" s="66">
        <f>C6+C7</f>
        <v>65638462</v>
      </c>
      <c r="D5" s="66">
        <f>D6+D7</f>
        <v>76066696.03</v>
      </c>
      <c r="E5" s="66">
        <f>E6+E7</f>
        <v>87758215.85</v>
      </c>
      <c r="F5" s="66">
        <f>F6+F7</f>
        <v>80166205</v>
      </c>
      <c r="G5" s="66">
        <f>G6+G7</f>
        <v>67479188.951</v>
      </c>
      <c r="H5" s="66">
        <f>H6+H7</f>
        <v>64818682.604481</v>
      </c>
      <c r="I5" s="66">
        <f>I6+I7</f>
        <v>66824421.08121991</v>
      </c>
      <c r="J5" s="66">
        <f>J6+J7</f>
        <v>68892228.23021773</v>
      </c>
      <c r="K5" s="66">
        <f>K6+K7</f>
        <v>71024024.90369888</v>
      </c>
      <c r="L5" s="66">
        <f>L6+L7</f>
        <v>73221791.40200827</v>
      </c>
      <c r="M5" s="66">
        <f>M6+M7</f>
        <v>75487569.31355411</v>
      </c>
      <c r="N5" s="66">
        <f>N6+N7</f>
        <v>77823463.41170037</v>
      </c>
      <c r="O5" s="66">
        <f>O6+O7</f>
        <v>80231643.61037195</v>
      </c>
      <c r="P5" s="66">
        <f>P6+P7</f>
        <v>82714346.9801896</v>
      </c>
      <c r="Q5" s="66">
        <f>Q6+Q7</f>
        <v>85273879.8270085</v>
      </c>
      <c r="R5" s="66">
        <f>R6+R7</f>
        <v>87912619.83479176</v>
      </c>
      <c r="S5" s="66">
        <f>S6+S7</f>
        <v>90633018.2748107</v>
      </c>
      <c r="T5" s="66">
        <f>T6+T7</f>
        <v>93437602.28322443</v>
      </c>
      <c r="U5" s="66">
        <f>U6+U7</f>
        <v>96328977.20915583</v>
      </c>
      <c r="V5" s="66">
        <f>V6+V7</f>
        <v>99309829.03544563</v>
      </c>
      <c r="W5" s="66">
        <f>W6+W7</f>
        <v>102382926.87433459</v>
      </c>
      <c r="X5" s="66">
        <f>X6+X7</f>
        <v>105551125.54039282</v>
      </c>
      <c r="Y5" s="66">
        <f>Y6+Y7</f>
        <v>108817368.20308748</v>
      </c>
      <c r="Z5" s="66">
        <f>Z6+Z7</f>
        <v>112184689.12145394</v>
      </c>
    </row>
    <row r="6" spans="1:26" ht="23.25" customHeight="1">
      <c r="A6" s="67" t="s">
        <v>89</v>
      </c>
      <c r="B6" s="68">
        <v>48236781</v>
      </c>
      <c r="C6" s="68">
        <v>54877794</v>
      </c>
      <c r="D6" s="69">
        <v>59404315.82</v>
      </c>
      <c r="E6" s="68">
        <f>60663677.01+44363+149878+1729+123825.84+61458</f>
        <v>61044930.85</v>
      </c>
      <c r="F6" s="68">
        <f>57504361+18960+31000</f>
        <v>57554321</v>
      </c>
      <c r="G6" s="70">
        <f>SUM(F6+0.031*F6)</f>
        <v>59338504.951</v>
      </c>
      <c r="H6" s="70">
        <f>SUM(G6+0.031*G6)</f>
        <v>61177998.604481</v>
      </c>
      <c r="I6" s="70">
        <f>SUM(H6+0.031*H6)</f>
        <v>63074516.56121991</v>
      </c>
      <c r="J6" s="70">
        <f>SUM(I6+0.031*I6)</f>
        <v>65029826.57461773</v>
      </c>
      <c r="K6" s="70">
        <f>SUM(J6+0.031*J6)</f>
        <v>67045751.19843088</v>
      </c>
      <c r="L6" s="70">
        <f>SUM(K6+0.031*K6)</f>
        <v>69124169.48558223</v>
      </c>
      <c r="M6" s="70">
        <f>SUM(L6+0.031*L6)</f>
        <v>71267018.73963529</v>
      </c>
      <c r="N6" s="70">
        <f>SUM(M6+0.031*M6)</f>
        <v>73476296.32056399</v>
      </c>
      <c r="O6" s="70">
        <f>SUM(N6+0.031*N6)</f>
        <v>75754061.50650147</v>
      </c>
      <c r="P6" s="70">
        <f>SUM(O6+0.031*O6)</f>
        <v>78102437.41320302</v>
      </c>
      <c r="Q6" s="70">
        <f>SUM(P6+0.031*P6)</f>
        <v>80523612.97301231</v>
      </c>
      <c r="R6" s="70">
        <f>SUM(Q6+0.031*Q6)</f>
        <v>83019844.9751757</v>
      </c>
      <c r="S6" s="70">
        <f>SUM(R6+0.031*R6)</f>
        <v>85593460.16940615</v>
      </c>
      <c r="T6" s="70">
        <f>SUM(S6+0.031*S6)</f>
        <v>88246857.43465774</v>
      </c>
      <c r="U6" s="70">
        <f>SUM(T6+0.031*T6)</f>
        <v>90982510.01513213</v>
      </c>
      <c r="V6" s="70">
        <f>SUM(U6+0.031*U6)</f>
        <v>93802967.82560122</v>
      </c>
      <c r="W6" s="70">
        <f>SUM(V6+0.031*V6)</f>
        <v>96710859.82819486</v>
      </c>
      <c r="X6" s="70">
        <f>SUM(W6+0.031*W6)</f>
        <v>99708896.4828689</v>
      </c>
      <c r="Y6" s="70">
        <f>SUM(X6+0.031*X6)</f>
        <v>102799872.27383783</v>
      </c>
      <c r="Z6" s="70">
        <f>SUM(Y6+0.031*Y6)</f>
        <v>105986668.31432681</v>
      </c>
    </row>
    <row r="7" spans="1:26" ht="20.25" customHeight="1">
      <c r="A7" s="67" t="s">
        <v>90</v>
      </c>
      <c r="B7" s="68">
        <v>8366132</v>
      </c>
      <c r="C7" s="68">
        <v>10760668</v>
      </c>
      <c r="D7" s="69">
        <v>16662380.21</v>
      </c>
      <c r="E7" s="68">
        <f>26903285-190000</f>
        <v>26713285</v>
      </c>
      <c r="F7" s="68">
        <f>17781884+F8</f>
        <v>22611884</v>
      </c>
      <c r="G7" s="68">
        <f>6000000+2140684</f>
        <v>8140684</v>
      </c>
      <c r="H7" s="68">
        <f>2140684+H8</f>
        <v>3640684</v>
      </c>
      <c r="I7" s="70">
        <f>SUM(H7+0.03*H7)</f>
        <v>3749904.52</v>
      </c>
      <c r="J7" s="70">
        <f>SUM(I7+0.03*I7)</f>
        <v>3862401.6556</v>
      </c>
      <c r="K7" s="70">
        <f>SUM(J7+0.03*J7)</f>
        <v>3978273.7052680003</v>
      </c>
      <c r="L7" s="70">
        <f>SUM(K7+0.03*K7)</f>
        <v>4097621.91642604</v>
      </c>
      <c r="M7" s="70">
        <f>SUM(L7+0.03*L7)</f>
        <v>4220550.573918821</v>
      </c>
      <c r="N7" s="70">
        <f>SUM(M7+0.03*M7)</f>
        <v>4347167.091136386</v>
      </c>
      <c r="O7" s="70">
        <f>SUM(N7+0.03*N7)</f>
        <v>4477582.1038704775</v>
      </c>
      <c r="P7" s="70">
        <f>SUM(O7+0.03*O7)</f>
        <v>4611909.566986592</v>
      </c>
      <c r="Q7" s="70">
        <f>SUM(P7+0.03*P7)</f>
        <v>4750266.853996189</v>
      </c>
      <c r="R7" s="70">
        <f>SUM(Q7+0.03*Q7)</f>
        <v>4892774.859616075</v>
      </c>
      <c r="S7" s="70">
        <f>SUM(R7+0.03*R7)</f>
        <v>5039558.105404557</v>
      </c>
      <c r="T7" s="70">
        <f>SUM(S7+0.03*S7)</f>
        <v>5190744.848566693</v>
      </c>
      <c r="U7" s="70">
        <f>SUM(T7+0.03*T7)</f>
        <v>5346467.194023694</v>
      </c>
      <c r="V7" s="70">
        <f>SUM(U7+0.03*U7)</f>
        <v>5506861.209844405</v>
      </c>
      <c r="W7" s="70">
        <f>SUM(V7+0.03*V7)</f>
        <v>5672067.046139737</v>
      </c>
      <c r="X7" s="70">
        <f>SUM(W7+0.03*W7)</f>
        <v>5842229.057523929</v>
      </c>
      <c r="Y7" s="70">
        <f>SUM(X7+0.03*X7)</f>
        <v>6017495.929249646</v>
      </c>
      <c r="Z7" s="70">
        <f>SUM(Y7+0.03*Y7)</f>
        <v>6198020.807127136</v>
      </c>
    </row>
    <row r="8" spans="1:26" ht="20.25" customHeight="1">
      <c r="A8" s="67" t="s">
        <v>91</v>
      </c>
      <c r="B8" s="68">
        <v>2943102</v>
      </c>
      <c r="C8" s="68">
        <v>1702924</v>
      </c>
      <c r="D8" s="71">
        <v>1908591.03</v>
      </c>
      <c r="E8" s="68">
        <v>1435000</v>
      </c>
      <c r="F8" s="68">
        <f>4830000</f>
        <v>4830000</v>
      </c>
      <c r="G8" s="68">
        <f>6000000</f>
        <v>6000000</v>
      </c>
      <c r="H8" s="68">
        <v>1500000</v>
      </c>
      <c r="I8" s="70">
        <f>SUM(H8+0.03*H8)</f>
        <v>1545000</v>
      </c>
      <c r="J8" s="70">
        <f>SUM(I8+0.03*I8)</f>
        <v>1591350</v>
      </c>
      <c r="K8" s="70">
        <f>SUM(J8+0.03*J8)</f>
        <v>1639090.5</v>
      </c>
      <c r="L8" s="70">
        <f>SUM(K8+0.03*K8)</f>
        <v>1688263.215</v>
      </c>
      <c r="M8" s="70">
        <f>SUM(L8+0.03*L8)</f>
        <v>1738911.1114500002</v>
      </c>
      <c r="N8" s="70">
        <f>SUM(M8+0.03*M8)</f>
        <v>1791078.4447935002</v>
      </c>
      <c r="O8" s="70">
        <f>SUM(N8+0.03*N8)</f>
        <v>1844810.7981373053</v>
      </c>
      <c r="P8" s="70">
        <f>SUM(O8+0.03*O8)</f>
        <v>1900155.1220814246</v>
      </c>
      <c r="Q8" s="70">
        <f>SUM(P8+0.03*P8)</f>
        <v>1957159.7757438673</v>
      </c>
      <c r="R8" s="70">
        <f>SUM(Q8+0.03*Q8)</f>
        <v>2015874.5690161833</v>
      </c>
      <c r="S8" s="70">
        <f>SUM(R8+0.03*R8)</f>
        <v>2076350.8060866687</v>
      </c>
      <c r="T8" s="70">
        <f>SUM(S8+0.03*S8)</f>
        <v>2138641.3302692687</v>
      </c>
      <c r="U8" s="70">
        <f>SUM(T8+0.03*T8)</f>
        <v>2202800.570177347</v>
      </c>
      <c r="V8" s="70">
        <f>SUM(U8+0.03*U8)</f>
        <v>2268884.5872826674</v>
      </c>
      <c r="W8" s="70">
        <f>SUM(V8+0.03*V8)</f>
        <v>2336951.1249011476</v>
      </c>
      <c r="X8" s="70">
        <f>SUM(W8+0.03*W8)</f>
        <v>2407059.658648182</v>
      </c>
      <c r="Y8" s="70">
        <f>SUM(X8+0.03*X8)</f>
        <v>2479271.4484076276</v>
      </c>
      <c r="Z8" s="70">
        <f>SUM(Y8+0.03*Y8)</f>
        <v>2553649.5918598566</v>
      </c>
    </row>
    <row r="9" spans="1:26" ht="21.75" customHeight="1">
      <c r="A9" s="65" t="s">
        <v>92</v>
      </c>
      <c r="B9" s="66">
        <f>B10+B11</f>
        <v>64898002</v>
      </c>
      <c r="C9" s="66">
        <f>C10+C11</f>
        <v>71336733</v>
      </c>
      <c r="D9" s="66">
        <f>D10+D11</f>
        <v>82713065.63</v>
      </c>
      <c r="E9" s="66">
        <f>E10+E11</f>
        <v>96141121.85</v>
      </c>
      <c r="F9" s="66">
        <f>F10+F11</f>
        <v>83209032</v>
      </c>
      <c r="G9" s="66">
        <f>G10+G11</f>
        <v>58385828</v>
      </c>
      <c r="H9" s="66">
        <f>H10+H11</f>
        <v>55064299</v>
      </c>
      <c r="I9" s="66">
        <f>I10+I11</f>
        <v>56641227.97</v>
      </c>
      <c r="J9" s="66">
        <f>J10+J11</f>
        <v>58340464.8091</v>
      </c>
      <c r="K9" s="66">
        <f>K10+K11</f>
        <v>60090678.753373004</v>
      </c>
      <c r="L9" s="66">
        <f>L10+L11</f>
        <v>61893399.115974195</v>
      </c>
      <c r="M9" s="66">
        <f>M10+M11</f>
        <v>63750201.08945342</v>
      </c>
      <c r="N9" s="66">
        <f>N10+N11</f>
        <v>65662707.122137025</v>
      </c>
      <c r="O9" s="66">
        <f>O10+O11</f>
        <v>67632588.33580114</v>
      </c>
      <c r="P9" s="66">
        <f>P10+P11</f>
        <v>69661565.98587517</v>
      </c>
      <c r="Q9" s="66">
        <f>Q10+Q11</f>
        <v>71751412.96545142</v>
      </c>
      <c r="R9" s="66">
        <f>R10+R11</f>
        <v>73903955.35441495</v>
      </c>
      <c r="S9" s="66">
        <f>S10+S11</f>
        <v>76121074.01504742</v>
      </c>
      <c r="T9" s="66">
        <f>T10+T11</f>
        <v>78404706.23549883</v>
      </c>
      <c r="U9" s="66">
        <f>U10+U11</f>
        <v>80756847.42256379</v>
      </c>
      <c r="V9" s="66">
        <f>V10+V11</f>
        <v>83179552.84524071</v>
      </c>
      <c r="W9" s="66">
        <f>W10+W11</f>
        <v>85674939.43059793</v>
      </c>
      <c r="X9" s="66">
        <f>X10+X11</f>
        <v>88245187.61351587</v>
      </c>
      <c r="Y9" s="66">
        <f>Y10+Y11</f>
        <v>90892543.24192135</v>
      </c>
      <c r="Z9" s="66">
        <f>Z10+Z11</f>
        <v>93619319.53917898</v>
      </c>
    </row>
    <row r="10" spans="1:26" ht="25.5" customHeight="1">
      <c r="A10" s="67" t="s">
        <v>93</v>
      </c>
      <c r="B10" s="68">
        <v>46152445</v>
      </c>
      <c r="C10" s="68">
        <v>51664524</v>
      </c>
      <c r="D10" s="69">
        <v>54479628.2</v>
      </c>
      <c r="E10" s="68">
        <f>58487692.01+44363-360000+149878+1729+43825.84+61458</f>
        <v>58428945.85</v>
      </c>
      <c r="F10" s="68">
        <f>58793501+18960+31000</f>
        <v>58843461</v>
      </c>
      <c r="G10" s="68">
        <f>50683300+350000</f>
        <v>51033300</v>
      </c>
      <c r="H10" s="70">
        <f>SUM(G10+0.03*G10)</f>
        <v>52564299</v>
      </c>
      <c r="I10" s="70">
        <f>SUM(H10+0.03*H10)</f>
        <v>54141227.97</v>
      </c>
      <c r="J10" s="70">
        <f>SUM(I10+0.03*I10)</f>
        <v>55765464.8091</v>
      </c>
      <c r="K10" s="70">
        <f>SUM(J10+0.03*J10)</f>
        <v>57438428.753373004</v>
      </c>
      <c r="L10" s="70">
        <f>SUM(K10+0.03*K10)</f>
        <v>59161581.615974195</v>
      </c>
      <c r="M10" s="70">
        <f>SUM(L10+0.03*L10)</f>
        <v>60936429.06445342</v>
      </c>
      <c r="N10" s="70">
        <f>SUM(M10+0.03*M10)</f>
        <v>62764521.936387025</v>
      </c>
      <c r="O10" s="70">
        <f>SUM(N10+0.03*N10)</f>
        <v>64647457.59447864</v>
      </c>
      <c r="P10" s="70">
        <f>SUM(O10+0.03*O10)</f>
        <v>66586881.322312996</v>
      </c>
      <c r="Q10" s="70">
        <f>SUM(P10+0.03*P10)</f>
        <v>68584487.76198238</v>
      </c>
      <c r="R10" s="70">
        <f>SUM(Q10+0.03*Q10)</f>
        <v>70642022.39484185</v>
      </c>
      <c r="S10" s="70">
        <f>SUM(R10+0.03*R10)</f>
        <v>72761283.0666871</v>
      </c>
      <c r="T10" s="70">
        <f>SUM(S10+0.03*S10)</f>
        <v>74944121.55868772</v>
      </c>
      <c r="U10" s="70">
        <f>SUM(T10+0.03*T10)</f>
        <v>77192445.20544834</v>
      </c>
      <c r="V10" s="70">
        <f>SUM(U10+0.03*U10)</f>
        <v>79508218.5616118</v>
      </c>
      <c r="W10" s="70">
        <f>SUM(V10+0.03*V10)</f>
        <v>81893465.11846015</v>
      </c>
      <c r="X10" s="70">
        <f>SUM(W10+0.03*W10)</f>
        <v>84350269.07201396</v>
      </c>
      <c r="Y10" s="70">
        <f>SUM(X10+0.03*X10)</f>
        <v>86880777.14417438</v>
      </c>
      <c r="Z10" s="70">
        <f>SUM(Y10+0.03*Y10)</f>
        <v>89487200.45849961</v>
      </c>
    </row>
    <row r="11" spans="1:26" ht="21" customHeight="1">
      <c r="A11" s="67" t="s">
        <v>94</v>
      </c>
      <c r="B11" s="68">
        <v>18745557</v>
      </c>
      <c r="C11" s="68">
        <v>19672209</v>
      </c>
      <c r="D11" s="69">
        <v>28233437.43</v>
      </c>
      <c r="E11" s="68">
        <f>38462176-640000-110000</f>
        <v>37712176</v>
      </c>
      <c r="F11" s="68">
        <v>24365571</v>
      </c>
      <c r="G11" s="70">
        <f>zał3!I10+1000000</f>
        <v>7352528</v>
      </c>
      <c r="H11" s="70">
        <f>zał3!J10+1000000</f>
        <v>2500000</v>
      </c>
      <c r="I11" s="70">
        <f>zał3!K10+1000000</f>
        <v>2500000</v>
      </c>
      <c r="J11" s="70">
        <f>SUM(I11+0.03*I11)</f>
        <v>2575000</v>
      </c>
      <c r="K11" s="70">
        <f>SUM(J11+0.03*J11)</f>
        <v>2652250</v>
      </c>
      <c r="L11" s="70">
        <f>SUM(K11+0.03*K11)</f>
        <v>2731817.5</v>
      </c>
      <c r="M11" s="70">
        <f>SUM(L11+0.03*L11)</f>
        <v>2813772.025</v>
      </c>
      <c r="N11" s="70">
        <f>SUM(M11+0.03*M11)</f>
        <v>2898185.1857499997</v>
      </c>
      <c r="O11" s="70">
        <f>SUM(N11+0.03*N11)</f>
        <v>2985130.7413224997</v>
      </c>
      <c r="P11" s="70">
        <f>SUM(O11+0.03*O11)</f>
        <v>3074684.663562175</v>
      </c>
      <c r="Q11" s="70">
        <f>SUM(P11+0.03*P11)</f>
        <v>3166925.2034690403</v>
      </c>
      <c r="R11" s="70">
        <f>SUM(Q11+0.03*Q11)</f>
        <v>3261932.9595731115</v>
      </c>
      <c r="S11" s="70">
        <f>SUM(R11+0.03*R11)</f>
        <v>3359790.948360305</v>
      </c>
      <c r="T11" s="70">
        <f>SUM(S11+0.03*S11)</f>
        <v>3460584.676811114</v>
      </c>
      <c r="U11" s="70">
        <f>SUM(T11+0.03*T11)</f>
        <v>3564402.2171154474</v>
      </c>
      <c r="V11" s="70">
        <f>SUM(U11+0.03*U11)</f>
        <v>3671334.283628911</v>
      </c>
      <c r="W11" s="70">
        <f>SUM(V11+0.03*V11)</f>
        <v>3781474.312137778</v>
      </c>
      <c r="X11" s="70">
        <f>SUM(W11+0.03*W11)</f>
        <v>3894918.5415019114</v>
      </c>
      <c r="Y11" s="70">
        <f>SUM(X11+0.03*X11)</f>
        <v>4011766.0977469687</v>
      </c>
      <c r="Z11" s="70">
        <f>SUM(Y11+0.03*Y11)</f>
        <v>4132119.080679378</v>
      </c>
    </row>
    <row r="12" spans="1:26" ht="21.75" customHeight="1">
      <c r="A12" s="65" t="s">
        <v>95</v>
      </c>
      <c r="B12" s="66">
        <f>B5-B9</f>
        <v>-8295089</v>
      </c>
      <c r="C12" s="66">
        <f>C5-C9</f>
        <v>-5698271</v>
      </c>
      <c r="D12" s="66">
        <f>D5-D9</f>
        <v>-6646369.599999994</v>
      </c>
      <c r="E12" s="66">
        <f>E5-E9</f>
        <v>-8382906</v>
      </c>
      <c r="F12" s="66">
        <f>F5-F9</f>
        <v>-3042827</v>
      </c>
      <c r="G12" s="66">
        <f>G5-G9</f>
        <v>9093360.951000005</v>
      </c>
      <c r="H12" s="66">
        <f>H5-H9</f>
        <v>9754383.604480997</v>
      </c>
      <c r="I12" s="66">
        <f>I5-I9</f>
        <v>10183193.111219913</v>
      </c>
      <c r="J12" s="66">
        <f>J5-J9</f>
        <v>10551763.421117723</v>
      </c>
      <c r="K12" s="66">
        <f>K5-K9</f>
        <v>10933346.150325872</v>
      </c>
      <c r="L12" s="66">
        <f>L5-L9</f>
        <v>11328392.28603407</v>
      </c>
      <c r="M12" s="66">
        <f>M5-M9</f>
        <v>11737368.224100687</v>
      </c>
      <c r="N12" s="66">
        <f>N5-N9</f>
        <v>12160756.289563343</v>
      </c>
      <c r="O12" s="66">
        <f>O5-O9</f>
        <v>12599055.274570808</v>
      </c>
      <c r="P12" s="66">
        <f>P5-P9</f>
        <v>13052780.994314432</v>
      </c>
      <c r="Q12" s="66">
        <f>Q5-Q9</f>
        <v>13522466.861557081</v>
      </c>
      <c r="R12" s="66">
        <f>R5-R9</f>
        <v>14008664.48037681</v>
      </c>
      <c r="S12" s="66">
        <f>S5-S9</f>
        <v>14511944.259763286</v>
      </c>
      <c r="T12" s="66">
        <f>T5-T9</f>
        <v>15032896.047725603</v>
      </c>
      <c r="U12" s="66">
        <f>U5-U9</f>
        <v>15572129.786592036</v>
      </c>
      <c r="V12" s="66">
        <f>V5-V9</f>
        <v>16130276.190204918</v>
      </c>
      <c r="W12" s="66">
        <f>W5-W9</f>
        <v>16707987.443736658</v>
      </c>
      <c r="X12" s="66">
        <f>X5-X9</f>
        <v>17305937.926876947</v>
      </c>
      <c r="Y12" s="66">
        <f>Y5-Y9</f>
        <v>17924824.96116613</v>
      </c>
      <c r="Z12" s="66">
        <f>Z5-Z9</f>
        <v>18565369.58227496</v>
      </c>
    </row>
    <row r="13" spans="1:26" ht="24" customHeight="1">
      <c r="A13" s="65" t="s">
        <v>96</v>
      </c>
      <c r="B13" s="66">
        <f>B14-B24</f>
        <v>12402721</v>
      </c>
      <c r="C13" s="66">
        <f>C14-C24</f>
        <v>8941150.98</v>
      </c>
      <c r="D13" s="66">
        <f>D14-D24</f>
        <v>12450511.719999999</v>
      </c>
      <c r="E13" s="66">
        <f>E14-E24</f>
        <v>8382906</v>
      </c>
      <c r="F13" s="66">
        <f>F14-F24</f>
        <v>3042827</v>
      </c>
      <c r="G13" s="66">
        <f>G14-G24</f>
        <v>-5104825.4345</v>
      </c>
      <c r="H13" s="66">
        <f>H14-H24</f>
        <v>-5104826.2345</v>
      </c>
      <c r="I13" s="66">
        <f>I14-I24</f>
        <v>-2702962.2345</v>
      </c>
      <c r="J13" s="66">
        <f>J14-J24</f>
        <v>-2702962.2345</v>
      </c>
      <c r="K13" s="66">
        <f>K14-K24</f>
        <v>-2702962.2345</v>
      </c>
      <c r="L13" s="66">
        <f>L14-L24</f>
        <v>-2702962.2345</v>
      </c>
      <c r="M13" s="66">
        <f>M14-M24</f>
        <v>-2702971.2345</v>
      </c>
      <c r="N13" s="66">
        <f>N14-N24</f>
        <v>-1688018.1245</v>
      </c>
      <c r="O13" s="66">
        <f>O14-O24</f>
        <v>-140539.39450000005</v>
      </c>
      <c r="P13" s="66">
        <f>P14-P24</f>
        <v>-140539.39450000005</v>
      </c>
      <c r="Q13" s="66">
        <f>Q14-Q24</f>
        <v>-140539.39450000005</v>
      </c>
      <c r="R13" s="66">
        <f>R14-R24</f>
        <v>-140539.39450000005</v>
      </c>
      <c r="S13" s="66">
        <f>S14-S24</f>
        <v>-140539.39450000005</v>
      </c>
      <c r="T13" s="66">
        <f>T14-T24</f>
        <v>-140539.39450000005</v>
      </c>
      <c r="U13" s="66">
        <f>U14-U24</f>
        <v>-140539.39450000005</v>
      </c>
      <c r="V13" s="66">
        <f>V14-V24</f>
        <v>-140539.39450000005</v>
      </c>
      <c r="W13" s="66">
        <f>W14-W24</f>
        <v>-140539.39450000005</v>
      </c>
      <c r="X13" s="66">
        <f>X14-X24</f>
        <v>-140539.39450000005</v>
      </c>
      <c r="Y13" s="66">
        <f>Y14-Y24</f>
        <v>-140551.39450000005</v>
      </c>
      <c r="Z13" s="66">
        <f>Z14-Z24</f>
        <v>331308.60549999995</v>
      </c>
    </row>
    <row r="14" spans="1:26" ht="23.25" customHeight="1">
      <c r="A14" s="65" t="s">
        <v>97</v>
      </c>
      <c r="B14" s="66">
        <f>B15+B17+B19+B20+B21+B22+B23</f>
        <v>16619580</v>
      </c>
      <c r="C14" s="66">
        <f>C15+C17+C19+C20+C21+C22+C23</f>
        <v>14873160</v>
      </c>
      <c r="D14" s="66">
        <f>D15+D17+D19+D20+D21+D22+D23</f>
        <v>18926628</v>
      </c>
      <c r="E14" s="66">
        <f>E15+E17+E19+E20+E21+E22+E23</f>
        <v>15084040</v>
      </c>
      <c r="F14" s="66">
        <f>F15+F17+F19+F20+F21+F22+F23</f>
        <v>10323967.89</v>
      </c>
      <c r="G14" s="66">
        <f>G15+G17+G19+G20+G21+G22+G23</f>
        <v>750000</v>
      </c>
      <c r="H14" s="66">
        <f>H15+H17+H19+H20+H21+H22+H23</f>
        <v>750000</v>
      </c>
      <c r="I14" s="66">
        <f>I15+I17+I19+I20+I21+I22+I23</f>
        <v>750000</v>
      </c>
      <c r="J14" s="66">
        <f>J15+J17+J19+J20+J21+J22+J23</f>
        <v>750000</v>
      </c>
      <c r="K14" s="66">
        <f>K15+K17+K19+K20+K21+K22+K23</f>
        <v>750000</v>
      </c>
      <c r="L14" s="66">
        <f>L15+L17+L19+L20+L21+L22+L23</f>
        <v>750000</v>
      </c>
      <c r="M14" s="66">
        <f>M15+M17+M19+M20+M21+M22+M23</f>
        <v>750000</v>
      </c>
      <c r="N14" s="66">
        <f>N15+N17+N19+N20+N21+N22+N23</f>
        <v>750000</v>
      </c>
      <c r="O14" s="66">
        <f>O15+O17+O19+O20+O21+O22+O23</f>
        <v>750000</v>
      </c>
      <c r="P14" s="66">
        <f>P15+P17+P19+P20+P21+P22+P23</f>
        <v>750000</v>
      </c>
      <c r="Q14" s="66">
        <f>Q15+Q17+Q19+Q20+Q21+Q22+Q23</f>
        <v>750000</v>
      </c>
      <c r="R14" s="66">
        <f>R15+R17+R19+R20+R21+R22+R23</f>
        <v>750000</v>
      </c>
      <c r="S14" s="66">
        <f>S15+S17+S19+S20+S21+S22+S23</f>
        <v>750000</v>
      </c>
      <c r="T14" s="66">
        <f>T15+T17+T19+T20+T21+T22+T23</f>
        <v>750000</v>
      </c>
      <c r="U14" s="66">
        <f>U15+U17+U19+U20+U21+U22+U23</f>
        <v>750000</v>
      </c>
      <c r="V14" s="66">
        <f>V15+V17+V19+V20+V21+V22+V23</f>
        <v>750000</v>
      </c>
      <c r="W14" s="66">
        <f>W15+W17+W19+W20+W21+W22+W23</f>
        <v>750000</v>
      </c>
      <c r="X14" s="66">
        <f>X15+X17+X19+X20+X21+X22+X23</f>
        <v>750000</v>
      </c>
      <c r="Y14" s="66">
        <f>Y15+Y17+Y19+Y20+Y21+Y22+Y23</f>
        <v>750000</v>
      </c>
      <c r="Z14" s="66">
        <f>Z15+Z17+Z19+Z20+Z21+Z22+Z23</f>
        <v>750000</v>
      </c>
    </row>
    <row r="15" spans="1:26" ht="27" customHeight="1">
      <c r="A15" s="67" t="s">
        <v>98</v>
      </c>
      <c r="B15" s="68">
        <v>14411180</v>
      </c>
      <c r="C15" s="68">
        <v>10425160</v>
      </c>
      <c r="D15" s="68">
        <v>15861658</v>
      </c>
      <c r="E15" s="68">
        <v>9201048</v>
      </c>
      <c r="F15" s="72">
        <f>SUM(-F12+F25-F22)</f>
        <v>8373827.890000001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</row>
    <row r="16" spans="1:26" ht="40.5" customHeight="1">
      <c r="A16" s="67" t="s">
        <v>99</v>
      </c>
      <c r="B16" s="68">
        <v>1342298</v>
      </c>
      <c r="C16" s="68">
        <v>4292903</v>
      </c>
      <c r="D16" s="68">
        <v>3134809</v>
      </c>
      <c r="E16" s="68">
        <v>1466212</v>
      </c>
      <c r="F16" s="68">
        <v>2632687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</row>
    <row r="17" spans="1:26" ht="25.5" customHeight="1">
      <c r="A17" s="67" t="s">
        <v>100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</row>
    <row r="18" spans="1:26" ht="37.5" customHeight="1">
      <c r="A18" s="67" t="s">
        <v>101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</row>
    <row r="19" spans="1:26" ht="23.25" customHeight="1">
      <c r="A19" s="67" t="s">
        <v>102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</row>
    <row r="20" spans="1:26" ht="21.75" customHeight="1">
      <c r="A20" s="67" t="s">
        <v>103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</row>
    <row r="21" spans="1:26" ht="23.25" customHeight="1">
      <c r="A21" s="67" t="s">
        <v>104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</row>
    <row r="22" spans="1:26" ht="23.25" customHeight="1">
      <c r="A22" s="67" t="s">
        <v>105</v>
      </c>
      <c r="B22" s="68">
        <v>2208400</v>
      </c>
      <c r="C22" s="68">
        <v>4448000</v>
      </c>
      <c r="D22" s="68">
        <v>3064970</v>
      </c>
      <c r="E22" s="68">
        <v>5882992</v>
      </c>
      <c r="F22" s="68">
        <f>2000000-908300+219440+639000</f>
        <v>1950140</v>
      </c>
      <c r="G22" s="68">
        <v>750000</v>
      </c>
      <c r="H22" s="68">
        <v>750000</v>
      </c>
      <c r="I22" s="68">
        <v>750000</v>
      </c>
      <c r="J22" s="68">
        <v>750000</v>
      </c>
      <c r="K22" s="68">
        <v>750000</v>
      </c>
      <c r="L22" s="68">
        <v>750000</v>
      </c>
      <c r="M22" s="68">
        <v>750000</v>
      </c>
      <c r="N22" s="68">
        <v>750000</v>
      </c>
      <c r="O22" s="68">
        <v>750000</v>
      </c>
      <c r="P22" s="68">
        <v>750000</v>
      </c>
      <c r="Q22" s="68">
        <v>750000</v>
      </c>
      <c r="R22" s="68">
        <v>750000</v>
      </c>
      <c r="S22" s="68">
        <v>750000</v>
      </c>
      <c r="T22" s="68">
        <v>750000</v>
      </c>
      <c r="U22" s="68">
        <v>750000</v>
      </c>
      <c r="V22" s="68">
        <v>750000</v>
      </c>
      <c r="W22" s="68">
        <v>750000</v>
      </c>
      <c r="X22" s="68">
        <v>750000</v>
      </c>
      <c r="Y22" s="68">
        <v>750000</v>
      </c>
      <c r="Z22" s="68">
        <v>750000</v>
      </c>
    </row>
    <row r="23" spans="1:26" ht="24.75" customHeight="1">
      <c r="A23" s="67" t="s">
        <v>106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</row>
    <row r="24" spans="1:26" ht="20.25" customHeight="1">
      <c r="A24" s="65" t="s">
        <v>107</v>
      </c>
      <c r="B24" s="66">
        <f>B25+B27+B29+B30</f>
        <v>4216859</v>
      </c>
      <c r="C24" s="66">
        <f>C25+C27+C29+C30</f>
        <v>5932009.02</v>
      </c>
      <c r="D24" s="66">
        <f>D25+D27+D29+D30</f>
        <v>6476116.28</v>
      </c>
      <c r="E24" s="66">
        <f>E25+E27+E29+E30</f>
        <v>6701134</v>
      </c>
      <c r="F24" s="66">
        <f>F25+F27+F29+F30</f>
        <v>7281140.890000001</v>
      </c>
      <c r="G24" s="66">
        <f>G25+G27+G29+G30</f>
        <v>5854825.4345</v>
      </c>
      <c r="H24" s="66">
        <f>H25+H27+H29+H30</f>
        <v>5854826.2345</v>
      </c>
      <c r="I24" s="66">
        <f>I25+I27+I29+I30</f>
        <v>3452962.2345</v>
      </c>
      <c r="J24" s="66">
        <f>J25+J27+J29+J30</f>
        <v>3452962.2345</v>
      </c>
      <c r="K24" s="66">
        <f>K25+K27+K29+K30</f>
        <v>3452962.2345</v>
      </c>
      <c r="L24" s="66">
        <f>L25+L27+L29+L30</f>
        <v>3452962.2345</v>
      </c>
      <c r="M24" s="66">
        <f>M25+M27+M29+M30</f>
        <v>3452971.2345</v>
      </c>
      <c r="N24" s="66">
        <f>N25+N27+N29+N30</f>
        <v>2438018.1245</v>
      </c>
      <c r="O24" s="66">
        <f>O25+O27+O29+O30</f>
        <v>890539.3945</v>
      </c>
      <c r="P24" s="66">
        <f>P25+P27+P29+P30</f>
        <v>890539.3945</v>
      </c>
      <c r="Q24" s="66">
        <f>Q25+Q27+Q29+Q30</f>
        <v>890539.3945</v>
      </c>
      <c r="R24" s="66">
        <f>R25+R27+R29+R30</f>
        <v>890539.3945</v>
      </c>
      <c r="S24" s="66">
        <f>S25+S27+S29+S30</f>
        <v>890539.3945</v>
      </c>
      <c r="T24" s="66">
        <f>T25+T27+T29+T30</f>
        <v>890539.3945</v>
      </c>
      <c r="U24" s="66">
        <f>U25+U27+U29+U30</f>
        <v>890539.3945</v>
      </c>
      <c r="V24" s="66">
        <f>V25+V27+V29+V30</f>
        <v>890539.3945</v>
      </c>
      <c r="W24" s="66">
        <f>W25+W27+W29+W30</f>
        <v>890539.3945</v>
      </c>
      <c r="X24" s="66">
        <f>X25+X27+X29+X30</f>
        <v>890539.3945</v>
      </c>
      <c r="Y24" s="66">
        <f>Y25+Y27+Y29+Y30</f>
        <v>890551.3945</v>
      </c>
      <c r="Z24" s="66">
        <f>Z25+Z27+Z29+Z30</f>
        <v>418691.39450000005</v>
      </c>
    </row>
    <row r="25" spans="1:27" ht="25.5" customHeight="1">
      <c r="A25" s="67" t="s">
        <v>108</v>
      </c>
      <c r="B25" s="68">
        <v>4216859</v>
      </c>
      <c r="C25" s="68">
        <v>5932009.02</v>
      </c>
      <c r="D25" s="74">
        <f>SUM(D67:D69)</f>
        <v>6476116.28</v>
      </c>
      <c r="E25" s="74">
        <f>SUM(E67:E69)</f>
        <v>6701134</v>
      </c>
      <c r="F25" s="74">
        <f>SUM(F67:F69)</f>
        <v>7281140.890000001</v>
      </c>
      <c r="G25" s="74">
        <f>SUM(G67:G69)</f>
        <v>5854825.4345</v>
      </c>
      <c r="H25" s="74">
        <f>SUM(H67:H69)</f>
        <v>5854826.2345</v>
      </c>
      <c r="I25" s="74">
        <f>SUM(I67:I69)</f>
        <v>3452962.2345</v>
      </c>
      <c r="J25" s="74">
        <f>SUM(J67:J69)</f>
        <v>3452962.2345</v>
      </c>
      <c r="K25" s="74">
        <f>SUM(K67:K69)</f>
        <v>3452962.2345</v>
      </c>
      <c r="L25" s="74">
        <f>SUM(L67:L69)</f>
        <v>3452962.2345</v>
      </c>
      <c r="M25" s="74">
        <f>SUM(M67:M69)</f>
        <v>3452971.2345</v>
      </c>
      <c r="N25" s="74">
        <f>SUM(N67:N69)</f>
        <v>2438018.1245</v>
      </c>
      <c r="O25" s="74">
        <f>SUM(O67:O69)</f>
        <v>890539.3945</v>
      </c>
      <c r="P25" s="74">
        <f>SUM(P67:P69)</f>
        <v>890539.3945</v>
      </c>
      <c r="Q25" s="74">
        <f>SUM(Q67:Q69)</f>
        <v>890539.3945</v>
      </c>
      <c r="R25" s="74">
        <f>SUM(R67:R69)</f>
        <v>890539.3945</v>
      </c>
      <c r="S25" s="74">
        <f>SUM(S67:S69)</f>
        <v>890539.3945</v>
      </c>
      <c r="T25" s="74">
        <f>SUM(T67:T69)</f>
        <v>890539.3945</v>
      </c>
      <c r="U25" s="74">
        <f>SUM(U67:U69)</f>
        <v>890539.3945</v>
      </c>
      <c r="V25" s="74">
        <f>SUM(V67:V69)</f>
        <v>890539.3945</v>
      </c>
      <c r="W25" s="74">
        <f>SUM(W67:W69)</f>
        <v>890539.3945</v>
      </c>
      <c r="X25" s="74">
        <f>SUM(X67:X69)</f>
        <v>890539.3945</v>
      </c>
      <c r="Y25" s="74">
        <f>SUM(Y67:Y69)</f>
        <v>890551.3945</v>
      </c>
      <c r="Z25" s="74">
        <f>SUM(Z67:Z69)</f>
        <v>418691.39450000005</v>
      </c>
      <c r="AA25" s="75"/>
    </row>
    <row r="26" spans="1:28" ht="48" customHeight="1">
      <c r="A26" s="67" t="s">
        <v>109</v>
      </c>
      <c r="B26" s="68">
        <v>1443268</v>
      </c>
      <c r="C26" s="68">
        <v>1189634</v>
      </c>
      <c r="D26" s="70">
        <f>SUM(D74:D77)</f>
        <v>1661049</v>
      </c>
      <c r="E26" s="70">
        <f>SUM(E74:E77)</f>
        <v>1974529.9</v>
      </c>
      <c r="F26" s="70">
        <f>SUM(F74:F77)</f>
        <v>1245956.9</v>
      </c>
      <c r="G26" s="70">
        <f>SUM(G74:G77)</f>
        <v>1215435.25</v>
      </c>
      <c r="H26" s="70">
        <f>SUM(H74:H77)</f>
        <v>1215435.25</v>
      </c>
      <c r="I26" s="70">
        <f>SUM(I74:I77)</f>
        <v>991718.25</v>
      </c>
      <c r="J26" s="70">
        <f>SUM(J74:J77)</f>
        <v>991718.25</v>
      </c>
      <c r="K26" s="70">
        <f>SUM(K74:K77)</f>
        <v>991718.25</v>
      </c>
      <c r="L26" s="70">
        <f>SUM(L74:L77)</f>
        <v>991718.25</v>
      </c>
      <c r="M26" s="70">
        <f>SUM(M74:M77)</f>
        <v>991721.25</v>
      </c>
      <c r="N26" s="70">
        <f>SUM(N74:N77)</f>
        <v>520303.25</v>
      </c>
      <c r="O26" s="70">
        <f>SUM(O74:O77)</f>
        <v>206822.35</v>
      </c>
      <c r="P26" s="70">
        <f>SUM(P74:P77)</f>
        <v>206822.35</v>
      </c>
      <c r="Q26" s="70">
        <f>SUM(Q74:Q77)</f>
        <v>206822.35</v>
      </c>
      <c r="R26" s="70">
        <f>SUM(R74:R77)</f>
        <v>206822.35</v>
      </c>
      <c r="S26" s="70">
        <f>SUM(S74:S77)</f>
        <v>206822.35</v>
      </c>
      <c r="T26" s="70">
        <f>SUM(T74:T77)</f>
        <v>206822.35</v>
      </c>
      <c r="U26" s="70">
        <f>SUM(U74:U77)</f>
        <v>206822.35</v>
      </c>
      <c r="V26" s="70">
        <f>SUM(V74:V77)</f>
        <v>206822.35</v>
      </c>
      <c r="W26" s="70">
        <f>SUM(W74:W77)</f>
        <v>206822.35</v>
      </c>
      <c r="X26" s="70">
        <f>SUM(X74:X77)</f>
        <v>206822.35</v>
      </c>
      <c r="Y26" s="70">
        <f>SUM(Y74:Y77)</f>
        <v>206868.35</v>
      </c>
      <c r="Z26" s="70">
        <f>SUM(Z74:Z77)</f>
        <v>131634.35</v>
      </c>
      <c r="AB26" s="5"/>
    </row>
    <row r="27" spans="1:26" ht="20.25" customHeight="1">
      <c r="A27" s="67" t="s">
        <v>110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</row>
    <row r="28" spans="1:26" ht="48" customHeight="1">
      <c r="A28" s="67" t="s">
        <v>111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</row>
    <row r="29" spans="1:26" ht="27" customHeight="1">
      <c r="A29" s="67" t="s">
        <v>112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</row>
    <row r="30" spans="1:26" ht="12.75">
      <c r="A30" s="67" t="s">
        <v>113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</row>
    <row r="31" spans="1:28" ht="27" customHeight="1">
      <c r="A31" s="65" t="s">
        <v>114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B31" t="s">
        <v>115</v>
      </c>
    </row>
    <row r="32" spans="1:26" ht="27" customHeight="1">
      <c r="A32" s="65" t="s">
        <v>116</v>
      </c>
      <c r="B32" s="76">
        <f>SUM(B33:B34)</f>
        <v>62867</v>
      </c>
      <c r="C32" s="76">
        <f>SUM(C33:C34)</f>
        <v>90829</v>
      </c>
      <c r="D32" s="76">
        <f>SUM(D33:D34)</f>
        <v>480000</v>
      </c>
      <c r="E32" s="76">
        <f>SUM(E33:E34)</f>
        <v>348000</v>
      </c>
      <c r="F32" s="76">
        <f>SUM(F33:F34)</f>
        <v>192000</v>
      </c>
      <c r="G32" s="76">
        <f>SUM(G33:G34)</f>
        <v>0</v>
      </c>
      <c r="H32" s="76">
        <f>SUM(H33:H34)</f>
        <v>0</v>
      </c>
      <c r="I32" s="76">
        <f>SUM(I33:I34)</f>
        <v>0</v>
      </c>
      <c r="J32" s="76">
        <f>SUM(J33:J34)</f>
        <v>0</v>
      </c>
      <c r="K32" s="76">
        <f>SUM(K33:K34)</f>
        <v>0</v>
      </c>
      <c r="L32" s="76">
        <f>SUM(L33:L34)</f>
        <v>0</v>
      </c>
      <c r="M32" s="76">
        <f>SUM(M33:M34)</f>
        <v>0</v>
      </c>
      <c r="N32" s="76">
        <f>SUM(N33:N34)</f>
        <v>0</v>
      </c>
      <c r="O32" s="76">
        <f>SUM(O33:O34)</f>
        <v>0</v>
      </c>
      <c r="P32" s="76">
        <f>SUM(P33:P34)</f>
        <v>0</v>
      </c>
      <c r="Q32" s="76">
        <f>SUM(Q33:Q34)</f>
        <v>0</v>
      </c>
      <c r="R32" s="76">
        <f>SUM(R33:R34)</f>
        <v>0</v>
      </c>
      <c r="S32" s="76">
        <f>SUM(S33:S34)</f>
        <v>0</v>
      </c>
      <c r="T32" s="76">
        <f>SUM(T33:T34)</f>
        <v>0</v>
      </c>
      <c r="U32" s="76">
        <f>SUM(U33:U34)</f>
        <v>0</v>
      </c>
      <c r="V32" s="76">
        <f>SUM(V33:V34)</f>
        <v>0</v>
      </c>
      <c r="W32" s="76">
        <f>SUM(W33:W34)</f>
        <v>0</v>
      </c>
      <c r="X32" s="76">
        <f>SUM(X33:X34)</f>
        <v>0</v>
      </c>
      <c r="Y32" s="76">
        <f>SUM(Y33:Y34)</f>
        <v>0</v>
      </c>
      <c r="Z32" s="76">
        <f>SUM(Z33:Z34)</f>
        <v>0</v>
      </c>
    </row>
    <row r="33" spans="1:26" ht="51.75" customHeight="1">
      <c r="A33" s="67" t="s">
        <v>117</v>
      </c>
      <c r="B33" s="68">
        <v>62867</v>
      </c>
      <c r="C33" s="68">
        <v>90829</v>
      </c>
      <c r="D33" s="68">
        <v>480000</v>
      </c>
      <c r="E33" s="68">
        <v>348000</v>
      </c>
      <c r="F33" s="68">
        <v>192000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</row>
    <row r="34" spans="1:26" ht="59.25" customHeight="1">
      <c r="A34" s="67" t="s">
        <v>118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</row>
    <row r="35" spans="1:26" ht="46.5" customHeight="1">
      <c r="A35" s="65" t="s">
        <v>119</v>
      </c>
      <c r="B35" s="66">
        <f>B36+B37+B38+B39+B40+B41</f>
        <v>3625932</v>
      </c>
      <c r="C35" s="66">
        <f>C36+C37+C38+C39+C40+C41</f>
        <v>5907978.02</v>
      </c>
      <c r="D35" s="66">
        <f>D36+D37+D38+D39+D40+D41</f>
        <v>6546491.87</v>
      </c>
      <c r="E35" s="66">
        <f>E36+E37+E38+E39+E40+E41</f>
        <v>7074604.1</v>
      </c>
      <c r="F35" s="66">
        <f>F36+F37+F38+F39+F40+F41</f>
        <v>8427183.99</v>
      </c>
      <c r="G35" s="66">
        <f>G36+G37+G38+G39+G40+G41</f>
        <v>6785728.260430001</v>
      </c>
      <c r="H35" s="66">
        <f>H36+H37+H38+H39+H40+H41</f>
        <v>6434439.48636</v>
      </c>
      <c r="I35" s="66">
        <f>I36+I37+I38+I39+I40+I41</f>
        <v>4049114.75229</v>
      </c>
      <c r="J35" s="66">
        <f>J36+J37+J38+J39+J40+J41</f>
        <v>3841937.01822</v>
      </c>
      <c r="K35" s="66">
        <f>K36+K37+K38+K39+K40+K41</f>
        <v>3634759.28415</v>
      </c>
      <c r="L35" s="66">
        <f>L36+L37+L38+L39+L40+L41</f>
        <v>3427581.5500800004</v>
      </c>
      <c r="M35" s="66">
        <f>M36+M37+M38+M39+M40+M41</f>
        <v>3220409.27601</v>
      </c>
      <c r="N35" s="66">
        <f>N36+N37+N38+N39+N40+N41</f>
        <v>2530593.07854</v>
      </c>
      <c r="O35" s="66">
        <f>O36+O37+O38+O39+O40+O41</f>
        <v>1243162.8848700006</v>
      </c>
      <c r="P35" s="66">
        <f>P36+P37+P38+P39+P40+P41</f>
        <v>1189730.5212000005</v>
      </c>
      <c r="Q35" s="66">
        <f>Q36+Q37+Q38+Q39+Q40+Q41</f>
        <v>1136298.1575300004</v>
      </c>
      <c r="R35" s="66">
        <f>R36+R37+R38+R39+R40+R41</f>
        <v>1082865.7938600006</v>
      </c>
      <c r="S35" s="66">
        <f>S36+S37+S38+S39+S40+S41</f>
        <v>1029433.4301900005</v>
      </c>
      <c r="T35" s="66">
        <f>T36+T37+T38+T39+T40+T41</f>
        <v>976001.0665200005</v>
      </c>
      <c r="U35" s="66">
        <f>U36+U37+U38+U39+U40+U41</f>
        <v>922568.7028500005</v>
      </c>
      <c r="V35" s="66">
        <f>V36+V37+V38+V39+V40+V41</f>
        <v>869136.3391800005</v>
      </c>
      <c r="W35" s="66">
        <f>W36+W37+W38+W39+W40+W41</f>
        <v>815703.9755100005</v>
      </c>
      <c r="X35" s="66">
        <f>X36+X37+X38+X39+X40+X41</f>
        <v>762271.6118400005</v>
      </c>
      <c r="Y35" s="66">
        <f>Y36+Y37+Y38+Y39+Y40+Y41</f>
        <v>708804.5281700004</v>
      </c>
      <c r="Z35" s="66">
        <f>Z36+Z37+Z38+Z39+Z40+Z41</f>
        <v>287057.0445000001</v>
      </c>
    </row>
    <row r="36" spans="1:26" ht="27" customHeight="1">
      <c r="A36" s="67" t="s">
        <v>120</v>
      </c>
      <c r="B36" s="66">
        <f>B25-B26</f>
        <v>2773591</v>
      </c>
      <c r="C36" s="66">
        <f>C25-C26</f>
        <v>4742375.02</v>
      </c>
      <c r="D36" s="66">
        <f>D25-D26</f>
        <v>4815067.28</v>
      </c>
      <c r="E36" s="66">
        <f>E25-E26</f>
        <v>4726604.1</v>
      </c>
      <c r="F36" s="66">
        <f>F25-F26</f>
        <v>6035183.99</v>
      </c>
      <c r="G36" s="66">
        <f>G25-G26</f>
        <v>4639390.1845</v>
      </c>
      <c r="H36" s="66">
        <f>H25-H26</f>
        <v>4639390.9845</v>
      </c>
      <c r="I36" s="66">
        <f>I25-I26</f>
        <v>2461243.9845</v>
      </c>
      <c r="J36" s="66">
        <f>J25-J26</f>
        <v>2461243.9845</v>
      </c>
      <c r="K36" s="66">
        <f>K25-K26</f>
        <v>2461243.9845</v>
      </c>
      <c r="L36" s="66">
        <f>L25-L26</f>
        <v>2461243.9845</v>
      </c>
      <c r="M36" s="66">
        <f>M25-M26</f>
        <v>2461249.9845</v>
      </c>
      <c r="N36" s="66">
        <f>N25-N26</f>
        <v>1917714.8745</v>
      </c>
      <c r="O36" s="66">
        <f>O25-O26</f>
        <v>683717.0445000001</v>
      </c>
      <c r="P36" s="66">
        <f>P25-P26</f>
        <v>683717.0445000001</v>
      </c>
      <c r="Q36" s="66">
        <f>Q25-Q26</f>
        <v>683717.0445000001</v>
      </c>
      <c r="R36" s="66">
        <f>R25-R26</f>
        <v>683717.0445000001</v>
      </c>
      <c r="S36" s="66">
        <f>S25-S26</f>
        <v>683717.0445000001</v>
      </c>
      <c r="T36" s="66">
        <f>T25-T26</f>
        <v>683717.0445000001</v>
      </c>
      <c r="U36" s="66">
        <f>U25-U26</f>
        <v>683717.0445000001</v>
      </c>
      <c r="V36" s="66">
        <f>V25-V26</f>
        <v>683717.0445000001</v>
      </c>
      <c r="W36" s="66">
        <f>W25-W26</f>
        <v>683717.0445000001</v>
      </c>
      <c r="X36" s="66">
        <f>X25-X26</f>
        <v>683717.0445000001</v>
      </c>
      <c r="Y36" s="66">
        <f>Y25-Y26</f>
        <v>683683.0445000001</v>
      </c>
      <c r="Z36" s="66">
        <f>Z25-Z26</f>
        <v>287057.0445000001</v>
      </c>
    </row>
    <row r="37" spans="1:26" ht="27" customHeight="1">
      <c r="A37" s="67" t="s">
        <v>121</v>
      </c>
      <c r="B37" s="68">
        <v>789474</v>
      </c>
      <c r="C37" s="68">
        <v>1074774</v>
      </c>
      <c r="D37" s="68">
        <v>1251424.59</v>
      </c>
      <c r="E37" s="68">
        <v>2000000</v>
      </c>
      <c r="F37" s="68">
        <v>2200000</v>
      </c>
      <c r="G37" s="70">
        <f>SUM(G43*0.06)</f>
        <v>2146338.07593</v>
      </c>
      <c r="H37" s="70">
        <f>SUM(H43*0.06)</f>
        <v>1795048.5018600002</v>
      </c>
      <c r="I37" s="70">
        <f>SUM(I43*0.06)</f>
        <v>1587870.7677900002</v>
      </c>
      <c r="J37" s="70">
        <f>SUM(J43*0.06)</f>
        <v>1380693.0337200004</v>
      </c>
      <c r="K37" s="70">
        <f>SUM(K43*0.06)</f>
        <v>1173515.2996500004</v>
      </c>
      <c r="L37" s="70">
        <f>SUM(L43*0.06)</f>
        <v>966337.5655800004</v>
      </c>
      <c r="M37" s="70">
        <f>SUM(M43*0.06)</f>
        <v>759159.2915100005</v>
      </c>
      <c r="N37" s="70">
        <f>SUM(N43*0.06)</f>
        <v>612878.2040400004</v>
      </c>
      <c r="O37" s="70">
        <f>SUM(O43*0.06)</f>
        <v>559445.8403700005</v>
      </c>
      <c r="P37" s="70">
        <f>SUM(P43*0.06)</f>
        <v>506013.47670000046</v>
      </c>
      <c r="Q37" s="70">
        <f>SUM(Q43*0.06)</f>
        <v>452581.1130300004</v>
      </c>
      <c r="R37" s="70">
        <f>SUM(R43*0.06)</f>
        <v>399148.7493600004</v>
      </c>
      <c r="S37" s="70">
        <f>SUM(S43*0.06)</f>
        <v>345716.3856900004</v>
      </c>
      <c r="T37" s="70">
        <f>SUM(T43*0.06)</f>
        <v>292284.0220200004</v>
      </c>
      <c r="U37" s="70">
        <f>SUM(U43*0.06)</f>
        <v>238851.65835000036</v>
      </c>
      <c r="V37" s="70">
        <f>SUM(V43*0.06)</f>
        <v>185419.29468000037</v>
      </c>
      <c r="W37" s="70">
        <f>SUM(W43*0.06)</f>
        <v>131986.93101000038</v>
      </c>
      <c r="X37" s="70">
        <f>SUM(X43*0.06)</f>
        <v>78554.56734000039</v>
      </c>
      <c r="Y37" s="70">
        <f>SUM(Y43*0.06)</f>
        <v>25121.48367000038</v>
      </c>
      <c r="Z37" s="70">
        <f>SUM(Z43*0.06)</f>
        <v>0</v>
      </c>
    </row>
    <row r="38" spans="1:26" ht="27" customHeight="1">
      <c r="A38" s="67" t="s">
        <v>122</v>
      </c>
      <c r="B38" s="66">
        <f>B27-B28</f>
        <v>0</v>
      </c>
      <c r="C38" s="66">
        <f>C27-C28</f>
        <v>0</v>
      </c>
      <c r="D38" s="66">
        <f>D27-D28</f>
        <v>0</v>
      </c>
      <c r="E38" s="66">
        <f>E27-E28</f>
        <v>0</v>
      </c>
      <c r="F38" s="66">
        <f>F27-F28</f>
        <v>0</v>
      </c>
      <c r="G38" s="66">
        <f>G27-G28</f>
        <v>0</v>
      </c>
      <c r="H38" s="66">
        <f>H27-H28</f>
        <v>0</v>
      </c>
      <c r="I38" s="66">
        <f>I27-I28</f>
        <v>0</v>
      </c>
      <c r="J38" s="66">
        <f>J27-J28</f>
        <v>0</v>
      </c>
      <c r="K38" s="66">
        <f>K27-K28</f>
        <v>0</v>
      </c>
      <c r="L38" s="66">
        <f>L27-L28</f>
        <v>0</v>
      </c>
      <c r="M38" s="66">
        <f>M27-M28</f>
        <v>0</v>
      </c>
      <c r="N38" s="66">
        <f>N27-N28</f>
        <v>0</v>
      </c>
      <c r="O38" s="66">
        <f>O27-O28</f>
        <v>0</v>
      </c>
      <c r="P38" s="66">
        <f>P27-P28</f>
        <v>0</v>
      </c>
      <c r="Q38" s="66">
        <f>Q27-Q28</f>
        <v>0</v>
      </c>
      <c r="R38" s="66">
        <f>R27-R28</f>
        <v>0</v>
      </c>
      <c r="S38" s="66">
        <f>S27-S28</f>
        <v>0</v>
      </c>
      <c r="T38" s="66">
        <f>T27-T28</f>
        <v>0</v>
      </c>
      <c r="U38" s="66">
        <f>U27-U28</f>
        <v>0</v>
      </c>
      <c r="V38" s="66">
        <f>V27-V28</f>
        <v>0</v>
      </c>
      <c r="W38" s="66">
        <f>W27-W28</f>
        <v>0</v>
      </c>
      <c r="X38" s="66">
        <f>X27-X28</f>
        <v>0</v>
      </c>
      <c r="Y38" s="66">
        <f>Y27-Y28</f>
        <v>0</v>
      </c>
      <c r="Z38" s="66">
        <f>Z27-Z28</f>
        <v>0</v>
      </c>
    </row>
    <row r="39" spans="1:26" ht="27" customHeight="1">
      <c r="A39" s="67" t="s">
        <v>123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</row>
    <row r="40" spans="1:26" ht="60" customHeight="1">
      <c r="A40" s="67" t="s">
        <v>124</v>
      </c>
      <c r="B40" s="66">
        <f>B33-B34</f>
        <v>62867</v>
      </c>
      <c r="C40" s="66">
        <f>C33-C34</f>
        <v>90829</v>
      </c>
      <c r="D40" s="66">
        <f>D33-D34</f>
        <v>480000</v>
      </c>
      <c r="E40" s="66">
        <f>E33-E34</f>
        <v>348000</v>
      </c>
      <c r="F40" s="66">
        <f>F33-F34</f>
        <v>192000</v>
      </c>
      <c r="G40" s="66">
        <f>G33-G34</f>
        <v>0</v>
      </c>
      <c r="H40" s="66">
        <f>H33-H34</f>
        <v>0</v>
      </c>
      <c r="I40" s="66">
        <f>I33-I34</f>
        <v>0</v>
      </c>
      <c r="J40" s="66">
        <f>J33-J34</f>
        <v>0</v>
      </c>
      <c r="K40" s="66">
        <f>K33-K34</f>
        <v>0</v>
      </c>
      <c r="L40" s="66">
        <f>L33-L34</f>
        <v>0</v>
      </c>
      <c r="M40" s="66">
        <f>M33-M34</f>
        <v>0</v>
      </c>
      <c r="N40" s="66">
        <f>N33-N34</f>
        <v>0</v>
      </c>
      <c r="O40" s="66">
        <f>O33-O34</f>
        <v>0</v>
      </c>
      <c r="P40" s="66">
        <f>P33-P34</f>
        <v>0</v>
      </c>
      <c r="Q40" s="66">
        <f>Q33-Q34</f>
        <v>0</v>
      </c>
      <c r="R40" s="66">
        <f>R33-R34</f>
        <v>0</v>
      </c>
      <c r="S40" s="66">
        <f>S33-S34</f>
        <v>0</v>
      </c>
      <c r="T40" s="66">
        <f>T33-T34</f>
        <v>0</v>
      </c>
      <c r="U40" s="66">
        <f>U33-U34</f>
        <v>0</v>
      </c>
      <c r="V40" s="66">
        <f>V33-V34</f>
        <v>0</v>
      </c>
      <c r="W40" s="66">
        <f>W33-W34</f>
        <v>0</v>
      </c>
      <c r="X40" s="66">
        <f>X33-X34</f>
        <v>0</v>
      </c>
      <c r="Y40" s="66">
        <f>Y33-Y34</f>
        <v>0</v>
      </c>
      <c r="Z40" s="66">
        <f>Z33-Z34</f>
        <v>0</v>
      </c>
    </row>
    <row r="41" spans="1:26" ht="48" customHeight="1">
      <c r="A41" s="67" t="s">
        <v>125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</row>
    <row r="42" spans="1:26" ht="27" customHeight="1">
      <c r="A42" s="65" t="s">
        <v>126</v>
      </c>
      <c r="B42" s="77">
        <f>B35/B5</f>
        <v>0.06405910593329357</v>
      </c>
      <c r="C42" s="77">
        <f>C35/C5</f>
        <v>0.0900078679479114</v>
      </c>
      <c r="D42" s="77">
        <f>D35/D5</f>
        <v>0.086062524227661</v>
      </c>
      <c r="E42" s="77">
        <f>E35/E5</f>
        <v>0.08061472115718725</v>
      </c>
      <c r="F42" s="78">
        <f>F35/F5</f>
        <v>0.10512140358895622</v>
      </c>
      <c r="G42" s="78">
        <f>G35/G5</f>
        <v>0.10056031149629636</v>
      </c>
      <c r="H42" s="78">
        <f>H35/H5</f>
        <v>0.09926828543589035</v>
      </c>
      <c r="I42" s="78">
        <f>I35/I5</f>
        <v>0.06059333828524477</v>
      </c>
      <c r="J42" s="78">
        <f>J35/J5</f>
        <v>0.055767350206490165</v>
      </c>
      <c r="K42" s="78">
        <f>K35/K5</f>
        <v>0.051176475693659323</v>
      </c>
      <c r="L42" s="78">
        <f>L35/L5</f>
        <v>0.04681094909658263</v>
      </c>
      <c r="M42" s="78">
        <f>M35/M5</f>
        <v>0.04266145148525483</v>
      </c>
      <c r="N42" s="78">
        <f>N35/N5</f>
        <v>0.032517096613301565</v>
      </c>
      <c r="O42" s="77">
        <f>O35/O5</f>
        <v>0.015494670543048563</v>
      </c>
      <c r="P42" s="77">
        <f>P35/P5</f>
        <v>0.014383605319219233</v>
      </c>
      <c r="Q42" s="77">
        <f>Q35/Q5</f>
        <v>0.013325278031621878</v>
      </c>
      <c r="R42" s="77">
        <f>R35/R5</f>
        <v>0.012317523876491872</v>
      </c>
      <c r="S42" s="77">
        <f>S35/S5</f>
        <v>0.011358260485915065</v>
      </c>
      <c r="T42" s="77">
        <f>T35/T5</f>
        <v>0.010445484929735075</v>
      </c>
      <c r="U42" s="77">
        <f>U35/U5</f>
        <v>0.009577270823159043</v>
      </c>
      <c r="V42" s="77">
        <f>V35/V5</f>
        <v>0.00875176553641824</v>
      </c>
      <c r="W42" s="77">
        <f>W35/W5</f>
        <v>0.007967187502963267</v>
      </c>
      <c r="X42" s="77">
        <f>X35/X5</f>
        <v>0.00722182362279302</v>
      </c>
      <c r="Y42" s="77">
        <f>Y35/Y5</f>
        <v>0.006513707690918861</v>
      </c>
      <c r="Z42" s="77">
        <f>Z35/Z5</f>
        <v>0.0025587898557995286</v>
      </c>
    </row>
    <row r="43" spans="1:26" ht="39" customHeight="1">
      <c r="A43" s="65" t="s">
        <v>127</v>
      </c>
      <c r="B43" s="66">
        <f>B44+B46+B48+B49</f>
        <v>24155833</v>
      </c>
      <c r="C43" s="66">
        <f>C44+C46+C48+C49</f>
        <v>28648983.98</v>
      </c>
      <c r="D43" s="66">
        <f>D44+D46+D48+D49</f>
        <v>38034525.7</v>
      </c>
      <c r="E43" s="66">
        <f>E44+E46+E48+E49</f>
        <v>40534439.7</v>
      </c>
      <c r="F43" s="79">
        <f>F44+F46+F48+F49</f>
        <v>41627126.7</v>
      </c>
      <c r="G43" s="79">
        <f>G44+G46+G48+G49</f>
        <v>35772301.2655</v>
      </c>
      <c r="H43" s="79">
        <f>H44+H46+H48+H49</f>
        <v>29917475.031000003</v>
      </c>
      <c r="I43" s="79">
        <f>I44+I46+I48+I49</f>
        <v>26464512.796500005</v>
      </c>
      <c r="J43" s="79">
        <f>J44+J46+J48+J49</f>
        <v>23011550.562000006</v>
      </c>
      <c r="K43" s="79">
        <f>K44+K46+K48+K49</f>
        <v>19558588.327500008</v>
      </c>
      <c r="L43" s="79">
        <f>L44+L46+L48+L49</f>
        <v>16105626.093000008</v>
      </c>
      <c r="M43" s="79">
        <f>M44+M46+M48+M49</f>
        <v>12652654.858500008</v>
      </c>
      <c r="N43" s="79">
        <f>N44+N46+N48+N49</f>
        <v>10214636.734000009</v>
      </c>
      <c r="O43" s="66">
        <f>O44+O46+O48+O49</f>
        <v>9324097.339500008</v>
      </c>
      <c r="P43" s="66">
        <f>P44+P46+P48+P49</f>
        <v>8433557.945000008</v>
      </c>
      <c r="Q43" s="66">
        <f>Q44+Q46+Q48+Q49</f>
        <v>7543018.550500007</v>
      </c>
      <c r="R43" s="66">
        <f>R44+R46+R48+R49</f>
        <v>6652479.156000007</v>
      </c>
      <c r="S43" s="66">
        <f>S44+S46+S48+S49</f>
        <v>5761939.761500007</v>
      </c>
      <c r="T43" s="66">
        <f>T44+T46+T48+T49</f>
        <v>4871400.367000006</v>
      </c>
      <c r="U43" s="66">
        <f>U44+U46+U48+U49</f>
        <v>3980860.972500006</v>
      </c>
      <c r="V43" s="66">
        <f>V44+V46+V48+V49</f>
        <v>3090321.5780000063</v>
      </c>
      <c r="W43" s="66">
        <f>W44+W46+W48+W49</f>
        <v>2199782.1835000063</v>
      </c>
      <c r="X43" s="66">
        <f>X44+X46+X48+X49</f>
        <v>1309242.7890000064</v>
      </c>
      <c r="Y43" s="66">
        <f>Y44+Y46+Y48+Y49</f>
        <v>418691.39450000634</v>
      </c>
      <c r="Z43" s="66">
        <f>Z44+Z46+Z48+Z49</f>
        <v>0</v>
      </c>
    </row>
    <row r="44" spans="1:26" ht="27" customHeight="1">
      <c r="A44" s="67" t="s">
        <v>128</v>
      </c>
      <c r="B44" s="80">
        <v>0</v>
      </c>
      <c r="C44" s="81">
        <f>B44+C17-C27</f>
        <v>0</v>
      </c>
      <c r="D44" s="81">
        <f>C44+D17-D27</f>
        <v>0</v>
      </c>
      <c r="E44" s="81">
        <f>D44+E17-E27</f>
        <v>0</v>
      </c>
      <c r="F44" s="81">
        <f>E44+F17-F27</f>
        <v>0</v>
      </c>
      <c r="G44" s="81">
        <f>F44+G17-G27</f>
        <v>0</v>
      </c>
      <c r="H44" s="81">
        <f>G44+H17-H27</f>
        <v>0</v>
      </c>
      <c r="I44" s="81">
        <f>H44+I17-I27</f>
        <v>0</v>
      </c>
      <c r="J44" s="81">
        <f>I44+J17-J27</f>
        <v>0</v>
      </c>
      <c r="K44" s="81">
        <f>J44+K17-K27</f>
        <v>0</v>
      </c>
      <c r="L44" s="81">
        <f>K44+L17-L27</f>
        <v>0</v>
      </c>
      <c r="M44" s="81">
        <f>L44+M17-M27</f>
        <v>0</v>
      </c>
      <c r="N44" s="81">
        <f>M44+N17-N27</f>
        <v>0</v>
      </c>
      <c r="O44" s="81">
        <f>N44+O17-O27</f>
        <v>0</v>
      </c>
      <c r="P44" s="81">
        <f>O44+P17-P27</f>
        <v>0</v>
      </c>
      <c r="Q44" s="81">
        <f>P44+Q17-Q27</f>
        <v>0</v>
      </c>
      <c r="R44" s="81">
        <f>Q44+R17-R27</f>
        <v>0</v>
      </c>
      <c r="S44" s="81">
        <f>R44+S17-S27</f>
        <v>0</v>
      </c>
      <c r="T44" s="81">
        <f>S44+T17-T27</f>
        <v>0</v>
      </c>
      <c r="U44" s="81">
        <f>T44+U17-U27</f>
        <v>0</v>
      </c>
      <c r="V44" s="81">
        <f>U44+V17-V27</f>
        <v>0</v>
      </c>
      <c r="W44" s="81">
        <f>V44+W17-W27</f>
        <v>0</v>
      </c>
      <c r="X44" s="81">
        <f>W44+X17-X27</f>
        <v>0</v>
      </c>
      <c r="Y44" s="81">
        <f>X44+Y17-Y27</f>
        <v>0</v>
      </c>
      <c r="Z44" s="81">
        <f>Y44+Z17-Z27</f>
        <v>0</v>
      </c>
    </row>
    <row r="45" spans="1:26" ht="48" customHeight="1">
      <c r="A45" s="67" t="s">
        <v>129</v>
      </c>
      <c r="B45" s="80">
        <v>0</v>
      </c>
      <c r="C45" s="81">
        <f>B45+C18-C28</f>
        <v>0</v>
      </c>
      <c r="D45" s="81">
        <f>C45+D18-D28</f>
        <v>0</v>
      </c>
      <c r="E45" s="81">
        <f>D45+E18-E28</f>
        <v>0</v>
      </c>
      <c r="F45" s="81">
        <f>E45+F18-F28</f>
        <v>0</v>
      </c>
      <c r="G45" s="81">
        <f>F45+G18-G28</f>
        <v>0</v>
      </c>
      <c r="H45" s="81">
        <f>G45+H18-H28</f>
        <v>0</v>
      </c>
      <c r="I45" s="81">
        <f>H45+I18-I28</f>
        <v>0</v>
      </c>
      <c r="J45" s="81">
        <f>I45+J18-J28</f>
        <v>0</v>
      </c>
      <c r="K45" s="81">
        <f>J45+K18-K28</f>
        <v>0</v>
      </c>
      <c r="L45" s="81">
        <f>K45+L18-L28</f>
        <v>0</v>
      </c>
      <c r="M45" s="81">
        <f>L45+M18-M28</f>
        <v>0</v>
      </c>
      <c r="N45" s="81">
        <f>M45+N18-N28</f>
        <v>0</v>
      </c>
      <c r="O45" s="81">
        <f>N45+O18-O28</f>
        <v>0</v>
      </c>
      <c r="P45" s="81">
        <f>O45+P18-P28</f>
        <v>0</v>
      </c>
      <c r="Q45" s="81">
        <f>P45+Q18-Q28</f>
        <v>0</v>
      </c>
      <c r="R45" s="81">
        <f>Q45+R18-R28</f>
        <v>0</v>
      </c>
      <c r="S45" s="81">
        <f>R45+S18-S28</f>
        <v>0</v>
      </c>
      <c r="T45" s="81">
        <f>S45+T18-T28</f>
        <v>0</v>
      </c>
      <c r="U45" s="81">
        <f>T45+U18-U28</f>
        <v>0</v>
      </c>
      <c r="V45" s="81">
        <f>U45+V18-V28</f>
        <v>0</v>
      </c>
      <c r="W45" s="81">
        <f>V45+W18-W28</f>
        <v>0</v>
      </c>
      <c r="X45" s="81">
        <f>W45+X18-X28</f>
        <v>0</v>
      </c>
      <c r="Y45" s="81">
        <f>X45+Y18-Y28</f>
        <v>0</v>
      </c>
      <c r="Z45" s="81">
        <f>Y45+Z18-Z28</f>
        <v>0</v>
      </c>
    </row>
    <row r="46" spans="1:26" ht="27" customHeight="1">
      <c r="A46" s="67" t="s">
        <v>130</v>
      </c>
      <c r="B46" s="80">
        <v>24155833</v>
      </c>
      <c r="C46" s="81">
        <f>B46+C15-C25-C31</f>
        <v>28648983.98</v>
      </c>
      <c r="D46" s="81">
        <f>C46+D15-D25-D31</f>
        <v>38034525.7</v>
      </c>
      <c r="E46" s="81">
        <f>D46+E15-E25-E31</f>
        <v>40534439.7</v>
      </c>
      <c r="F46" s="81">
        <f>E46+F15-F25-F31</f>
        <v>41627126.7</v>
      </c>
      <c r="G46" s="81">
        <f>F46+G15-G25-G31</f>
        <v>35772301.2655</v>
      </c>
      <c r="H46" s="81">
        <f>G46+H15-H25-H31</f>
        <v>29917475.031000003</v>
      </c>
      <c r="I46" s="81">
        <f>H46+I15-I25-I31</f>
        <v>26464512.796500005</v>
      </c>
      <c r="J46" s="81">
        <f>I46+J15-J25-J31</f>
        <v>23011550.562000006</v>
      </c>
      <c r="K46" s="81">
        <f>J46+K15-K25-K31</f>
        <v>19558588.327500008</v>
      </c>
      <c r="L46" s="81">
        <f>K46+L15-L25-L31</f>
        <v>16105626.093000008</v>
      </c>
      <c r="M46" s="81">
        <f>L46+M15-M25-M31</f>
        <v>12652654.858500008</v>
      </c>
      <c r="N46" s="81">
        <f>M46+N15-N25-N31</f>
        <v>10214636.734000009</v>
      </c>
      <c r="O46" s="81">
        <f>N46+O15-O25-O31</f>
        <v>9324097.339500008</v>
      </c>
      <c r="P46" s="81">
        <f>O46+P15-P25-P31</f>
        <v>8433557.945000008</v>
      </c>
      <c r="Q46" s="81">
        <f>P46+Q15-Q25-Q31</f>
        <v>7543018.550500007</v>
      </c>
      <c r="R46" s="81">
        <f>Q46+R15-R25-R31</f>
        <v>6652479.156000007</v>
      </c>
      <c r="S46" s="81">
        <f>R46+S15-S25-S31</f>
        <v>5761939.761500007</v>
      </c>
      <c r="T46" s="81">
        <f>S46+T15-T25-T31</f>
        <v>4871400.367000006</v>
      </c>
      <c r="U46" s="81">
        <f>T46+U15-U25-U31</f>
        <v>3980860.972500006</v>
      </c>
      <c r="V46" s="81">
        <f>U46+V15-V25-V31</f>
        <v>3090321.5780000063</v>
      </c>
      <c r="W46" s="81">
        <f>V46+W15-W25-W31</f>
        <v>2199782.1835000063</v>
      </c>
      <c r="X46" s="81">
        <f>W46+X15-X25-X31</f>
        <v>1309242.7890000064</v>
      </c>
      <c r="Y46" s="81">
        <f>X46+Y15-Y25-Y31</f>
        <v>418691.39450000634</v>
      </c>
      <c r="Z46" s="81">
        <v>0</v>
      </c>
    </row>
    <row r="47" spans="1:26" ht="48" customHeight="1">
      <c r="A47" s="67" t="s">
        <v>131</v>
      </c>
      <c r="B47" s="80">
        <v>4861053</v>
      </c>
      <c r="C47" s="81">
        <f>B47+C16-C26</f>
        <v>7964322</v>
      </c>
      <c r="D47" s="81">
        <f>C47+D16-D26</f>
        <v>9438082</v>
      </c>
      <c r="E47" s="81">
        <f>D47+E16-E26</f>
        <v>8929764.1</v>
      </c>
      <c r="F47" s="81">
        <f>E47+F16-F26</f>
        <v>10316494.2</v>
      </c>
      <c r="G47" s="81">
        <f>F47+G16-G26</f>
        <v>9101058.95</v>
      </c>
      <c r="H47" s="81">
        <f>G47+H16-H26</f>
        <v>7885623.699999999</v>
      </c>
      <c r="I47" s="81">
        <f>H47+I16-I26</f>
        <v>6893905.449999999</v>
      </c>
      <c r="J47" s="81">
        <f>I47+J16-J26</f>
        <v>5902187.199999999</v>
      </c>
      <c r="K47" s="81">
        <f>J47+K16-K26</f>
        <v>4910468.949999999</v>
      </c>
      <c r="L47" s="81">
        <f>K47+L16-L26</f>
        <v>3918750.6999999993</v>
      </c>
      <c r="M47" s="81">
        <f>L47+M16-M26</f>
        <v>2927029.4499999993</v>
      </c>
      <c r="N47" s="81">
        <f>M47+N16-N26</f>
        <v>2406726.1999999993</v>
      </c>
      <c r="O47" s="81">
        <f>N47+O16-O26</f>
        <v>2199903.849999999</v>
      </c>
      <c r="P47" s="81">
        <f>O47+P16-P26</f>
        <v>1993081.499999999</v>
      </c>
      <c r="Q47" s="81">
        <f>P47+Q16-Q26</f>
        <v>1786259.149999999</v>
      </c>
      <c r="R47" s="81">
        <f>Q47+R16-R26</f>
        <v>1579436.7999999989</v>
      </c>
      <c r="S47" s="81">
        <f>R47+S16-S26</f>
        <v>1372614.4499999988</v>
      </c>
      <c r="T47" s="81">
        <f>S47+T16-T26</f>
        <v>1165792.0999999987</v>
      </c>
      <c r="U47" s="81">
        <f>T47+U16-U26</f>
        <v>958969.7499999987</v>
      </c>
      <c r="V47" s="81">
        <f>U47+V16-V26</f>
        <v>752147.3999999987</v>
      </c>
      <c r="W47" s="81">
        <f>V47+W16-W26</f>
        <v>545325.0499999988</v>
      </c>
      <c r="X47" s="81">
        <f>W47+X16-X26</f>
        <v>338502.6999999988</v>
      </c>
      <c r="Y47" s="81">
        <f>X47+Y16-Y26</f>
        <v>131634.34999999878</v>
      </c>
      <c r="Z47" s="82">
        <f>Y47+Z16-Z26</f>
        <v>-1.2223608791828156E-09</v>
      </c>
    </row>
    <row r="48" spans="1:26" ht="27" customHeight="1">
      <c r="A48" s="67" t="s">
        <v>132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</row>
    <row r="49" spans="1:26" ht="27" customHeight="1">
      <c r="A49" s="67" t="s">
        <v>133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</row>
    <row r="50" spans="1:26" ht="27" customHeight="1">
      <c r="A50" s="65" t="s">
        <v>134</v>
      </c>
      <c r="B50" s="77">
        <f>(B43-B45-B47)/B5</f>
        <v>0.3408796292869238</v>
      </c>
      <c r="C50" s="77">
        <f>(C43-C45-C47)/C5</f>
        <v>0.31513020490943255</v>
      </c>
      <c r="D50" s="77">
        <f>(D43-D45-D47)/D5</f>
        <v>0.37593907968241225</v>
      </c>
      <c r="E50" s="77">
        <f>(E43-E45-E47)/E5</f>
        <v>0.36013352475191646</v>
      </c>
      <c r="F50" s="78">
        <f>(F43-F45-F47)/F5</f>
        <v>0.390571469611166</v>
      </c>
      <c r="G50" s="78">
        <f>(G43-G45-G47)/G5</f>
        <v>0.39525137646315395</v>
      </c>
      <c r="H50" s="78">
        <f>(H43-H45-H47)/H5</f>
        <v>0.33989970862932833</v>
      </c>
      <c r="I50" s="78">
        <f>(I43-I45-I47)/I5</f>
        <v>0.29286609640378997</v>
      </c>
      <c r="J50" s="78">
        <f>(J43-J45-J47)/J5</f>
        <v>0.24834968764292986</v>
      </c>
      <c r="K50" s="78">
        <f>(K43-K45-K47)/K5</f>
        <v>0.2062417526655427</v>
      </c>
      <c r="L50" s="78">
        <f>(L43-L45-L47)/L5</f>
        <v>0.16643782075872235</v>
      </c>
      <c r="M50" s="78">
        <f>(M43-M45-M47)/M5</f>
        <v>0.12883744299809813</v>
      </c>
      <c r="N50" s="78">
        <f>(N43-N45-N47)/N5</f>
        <v>0.10032848952885498</v>
      </c>
      <c r="O50" s="77">
        <f>(O43-O45-O47)/O5</f>
        <v>0.0887953077977207</v>
      </c>
      <c r="P50" s="77">
        <f>(P43-P45-P47)/P5</f>
        <v>0.077864078967371</v>
      </c>
      <c r="Q50" s="77">
        <f>(Q43-Q45-Q47)/Q5</f>
        <v>0.06750905918879851</v>
      </c>
      <c r="R50" s="77">
        <f>(R43-R45-R47)/R5</f>
        <v>0.05770550764535778</v>
      </c>
      <c r="S50" s="77">
        <f>(S43-S45-S47)/S5</f>
        <v>0.0484296495366735</v>
      </c>
      <c r="T50" s="77">
        <f>(T43-T45-T47)/T5</f>
        <v>0.039658640380857715</v>
      </c>
      <c r="U50" s="77">
        <f>(U43-U45-U47)/U5</f>
        <v>0.031370531589250426</v>
      </c>
      <c r="V50" s="77">
        <f>(V43-V45-V47)/V5</f>
        <v>0.023544237269459676</v>
      </c>
      <c r="W50" s="77">
        <f>(W43-W45-W47)/W5</f>
        <v>0.01615950221398435</v>
      </c>
      <c r="X50" s="77">
        <f>(X43-X45-X47)/X5</f>
        <v>0.009196871033161271</v>
      </c>
      <c r="Y50" s="77">
        <f>(Y43-Y45-Y47)/Y5</f>
        <v>0.0026379708427083873</v>
      </c>
      <c r="Z50" s="77">
        <f>(Z43-Z45-Z47)/Z5</f>
        <v>1.0895968859524648E-17</v>
      </c>
    </row>
    <row r="51" spans="1:26" ht="48" customHeight="1">
      <c r="A51" s="65" t="s">
        <v>135</v>
      </c>
      <c r="B51" s="77" t="s">
        <v>136</v>
      </c>
      <c r="C51" s="77" t="s">
        <v>136</v>
      </c>
      <c r="D51" s="83">
        <v>0.104323622108358</v>
      </c>
      <c r="E51" s="77">
        <f>((D6+D8-D10)/D5+(C6+C8-C10)/C5+(B6+B8-B10)/B5)/3</f>
        <v>0.0845167385672977</v>
      </c>
      <c r="F51" s="77">
        <f>((E6+E8-E10)/E5+(D6+D8-D10)/D5+(C6+C8-C10)/C5)/3</f>
        <v>0.07029718109259918</v>
      </c>
      <c r="G51" s="77">
        <f>((F6+F8-F10)/F5+(E6+E8-E10)/E5+(D6+D8-D10)/D5)/3</f>
        <v>0.060054153766852116</v>
      </c>
      <c r="H51" s="77">
        <f>((G6+G8-G10)/G5+(F6+F8-F10)/F5+(E6+E8-E10)/E5)/3</f>
        <v>0.10077468601895528</v>
      </c>
      <c r="I51" s="77">
        <f>((H6+H8-H10)/H5+(G6+G8-G10)/G5+(F6+F8-F10)/F5)/3</f>
        <v>0.1373979781589461</v>
      </c>
      <c r="J51" s="77">
        <f>((I6+I8-I10)/I5+(H6+H8-H10)/H5+(G6+G8-G10)/G5)/3</f>
        <v>0.17494274367449725</v>
      </c>
      <c r="K51" s="77">
        <f>((J6+J8-J10)/J5+(I6+I8-I10)/I5+(H6+H8-H10)/H5)/3</f>
        <v>0.15680306093334462</v>
      </c>
      <c r="L51" s="77">
        <f>((K6+K8-K10)/K5+(J6+J8-J10)/J5+(I6+I8-I10)/I5)/3</f>
        <v>0.15757505275398864</v>
      </c>
      <c r="M51" s="77">
        <f>((L6+L8-L10)/L5+(K6+K8-K10)/K5+(J6+J8-J10)/J5)/3</f>
        <v>0.15834637971866192</v>
      </c>
      <c r="N51" s="77">
        <f>((M6+M8-M10)/M5+(L6+L8-L10)/L5+(K6+K8-K10)/K5)/3</f>
        <v>0.15911704232317392</v>
      </c>
      <c r="O51" s="77">
        <f>((N6+N8-N10)/N5+(M6+M8-M10)/M5+(L6+L8-L10)/L5)/3</f>
        <v>0.15988704106310558</v>
      </c>
      <c r="P51" s="77">
        <f>((O6+O8-O10)/O5+(N6+N8-N10)/N5+(M6+M8-M10)/M5)/3</f>
        <v>0.1606563764338088</v>
      </c>
      <c r="Q51" s="77">
        <f>((P6+P8-P10)/P5+(O6+O8-O10)/O5+(N6+N8-N10)/N5)/3</f>
        <v>0.16142504893040668</v>
      </c>
      <c r="R51" s="77">
        <f>((Q6+Q8-Q10)/Q5+(P6+P8-P10)/P5+(O6+O8-O10)/O5)/3</f>
        <v>0.162193059047793</v>
      </c>
      <c r="S51" s="77">
        <f>((R6+R8-R10)/R5+(Q6+Q8-Q10)/Q5+(P6+P8-P10)/P5)/3</f>
        <v>0.1629604072806323</v>
      </c>
      <c r="T51" s="77">
        <f>((S6+S8-S10)/S5+(R6+R8-R10)/R5+(Q6+Q8-Q10)/Q5)/3</f>
        <v>0.16372709412335953</v>
      </c>
      <c r="U51" s="77">
        <f>((T6+T8-T10)/T5+(S6+S8-S10)/S5+(R6+R8-R10)/R5)/3</f>
        <v>0.16449312007018002</v>
      </c>
      <c r="V51" s="77">
        <f>((U6+U8-U10)/U5+(T6+T8-T10)/T5+(S6+S8-S10)/S5)/3</f>
        <v>0.16525848561506928</v>
      </c>
      <c r="W51" s="77">
        <f>((V6+V8-V10)/V5+(U6+U8-U10)/U5+(T6+T8-T10)/T5)/3</f>
        <v>0.16602319125177276</v>
      </c>
      <c r="X51" s="77">
        <f>((W6+W8-W10)/W5+(V6+V8-V10)/V5+(U6+U8-U10)/U5)/3</f>
        <v>0.16678723747380575</v>
      </c>
      <c r="Y51" s="77">
        <f>((X6+X8-X10)/X5+(W6+W8-W10)/W5+(V6+V8-V10)/V5)/3</f>
        <v>0.16755062477445323</v>
      </c>
      <c r="Z51" s="77">
        <f>((Y6+Y8-Y10)/Y5+(X6+X8-X10)/X5+(W6+W8-W10)/W5)/3</f>
        <v>0.16831335364676966</v>
      </c>
    </row>
    <row r="52" spans="1:26" ht="48" customHeight="1">
      <c r="A52" s="65" t="s">
        <v>137</v>
      </c>
      <c r="B52" s="77" t="s">
        <v>136</v>
      </c>
      <c r="C52" s="77" t="s">
        <v>136</v>
      </c>
      <c r="D52" s="77" t="str">
        <f>IF(D42&lt;=D51,"TAK","NIE")</f>
        <v>TAK</v>
      </c>
      <c r="E52" s="77" t="str">
        <f>IF(E42&lt;=E51,"TAK","NIE")</f>
        <v>TAK</v>
      </c>
      <c r="F52" s="77" t="str">
        <f>IF(F42&lt;=F51,"TAK","NIE")</f>
        <v>NIE</v>
      </c>
      <c r="G52" s="77" t="str">
        <f>IF(G42&lt;=G51,"TAK","NIE")</f>
        <v>NIE</v>
      </c>
      <c r="H52" s="78" t="str">
        <f>IF(H42&lt;=H51,"TAK","NIE")</f>
        <v>TAK</v>
      </c>
      <c r="I52" s="78" t="str">
        <f>IF(I42&lt;=I51,"TAK","NIE")</f>
        <v>TAK</v>
      </c>
      <c r="J52" s="78" t="str">
        <f>IF(J42&lt;=J51,"TAK","NIE")</f>
        <v>TAK</v>
      </c>
      <c r="K52" s="78" t="str">
        <f>IF(K42&lt;=K51,"TAK","NIE")</f>
        <v>TAK</v>
      </c>
      <c r="L52" s="78" t="str">
        <f>IF(L42&lt;=L51,"TAK","NIE")</f>
        <v>TAK</v>
      </c>
      <c r="M52" s="78" t="str">
        <f>IF(M42&lt;=M51,"TAK","NIE")</f>
        <v>TAK</v>
      </c>
      <c r="N52" s="78" t="str">
        <f>IF(N42&lt;=N51,"TAK","NIE")</f>
        <v>TAK</v>
      </c>
      <c r="O52" s="78" t="str">
        <f>IF(O42&lt;=O51,"TAK","NIE")</f>
        <v>TAK</v>
      </c>
      <c r="P52" s="78" t="str">
        <f>IF(P42&lt;=P51,"TAK","NIE")</f>
        <v>TAK</v>
      </c>
      <c r="Q52" s="77" t="str">
        <f>IF(Q42&lt;=Q51,"TAK","NIE")</f>
        <v>TAK</v>
      </c>
      <c r="R52" s="77" t="str">
        <f>IF(R42&lt;=R51,"TAK","NIE")</f>
        <v>TAK</v>
      </c>
      <c r="S52" s="77" t="str">
        <f>IF(S42&lt;=S51,"TAK","NIE")</f>
        <v>TAK</v>
      </c>
      <c r="T52" s="77" t="str">
        <f>IF(T42&lt;=T51,"TAK","NIE")</f>
        <v>TAK</v>
      </c>
      <c r="U52" s="77" t="str">
        <f>IF(U42&lt;=U51,"TAK","NIE")</f>
        <v>TAK</v>
      </c>
      <c r="V52" s="77" t="str">
        <f>IF(V42&lt;=V51,"TAK","NIE")</f>
        <v>TAK</v>
      </c>
      <c r="W52" s="77" t="str">
        <f>IF(W42&lt;=W51,"TAK","NIE")</f>
        <v>TAK</v>
      </c>
      <c r="X52" s="77" t="str">
        <f>IF(X42&lt;=X51,"TAK","NIE")</f>
        <v>TAK</v>
      </c>
      <c r="Y52" s="77" t="str">
        <f>IF(Y42&lt;=Y51,"TAK","NIE")</f>
        <v>TAK</v>
      </c>
      <c r="Z52" s="77" t="str">
        <f>IF(Z42&lt;=Z51,"TAK","NIE")</f>
        <v>TAK</v>
      </c>
    </row>
    <row r="53" spans="1:26" ht="12.75">
      <c r="A53" t="s">
        <v>52</v>
      </c>
      <c r="B53" s="47"/>
      <c r="C53" s="47"/>
      <c r="D53" s="84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85"/>
      <c r="X53" s="85"/>
      <c r="Y53" s="85"/>
      <c r="Z53" s="47"/>
    </row>
    <row r="54" spans="2:26" ht="12.75">
      <c r="B54" s="47"/>
      <c r="C54" s="47"/>
      <c r="D54" s="84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85"/>
      <c r="X54" s="85"/>
      <c r="Y54" s="85"/>
      <c r="Z54" s="47"/>
    </row>
    <row r="55" spans="1:26" ht="12.75">
      <c r="A55" s="47"/>
      <c r="B55" s="47"/>
      <c r="C55" s="47"/>
      <c r="D55" s="84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86"/>
      <c r="X55" s="86"/>
      <c r="Y55" s="86"/>
      <c r="Z55" s="86"/>
    </row>
    <row r="56" spans="1:26" ht="12.75">
      <c r="A56" s="47"/>
      <c r="B56" s="47"/>
      <c r="C56" s="47"/>
      <c r="D56" s="84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2.75">
      <c r="A57" s="47"/>
      <c r="B57" s="47"/>
      <c r="C57" s="47"/>
      <c r="D57" s="84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86"/>
      <c r="X57" s="86"/>
      <c r="Y57" s="86"/>
      <c r="Z57" s="86"/>
    </row>
    <row r="58" spans="1:26" ht="90" customHeight="1">
      <c r="A58" s="87" t="s">
        <v>138</v>
      </c>
      <c r="B58" s="87"/>
      <c r="C58" s="87"/>
      <c r="D58" s="87"/>
      <c r="E58" s="87"/>
      <c r="F58" s="87"/>
      <c r="G58" s="87"/>
      <c r="H58" s="8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24.75" customHeight="1">
      <c r="A59" s="87"/>
      <c r="B59" s="87"/>
      <c r="C59" s="87"/>
      <c r="D59" s="87"/>
      <c r="E59" s="87"/>
      <c r="F59" s="87"/>
      <c r="G59" s="87"/>
      <c r="H59" s="8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2.75">
      <c r="A60" s="88"/>
      <c r="B60" s="88"/>
      <c r="C60" s="88"/>
      <c r="D60" s="88"/>
      <c r="E60" s="88"/>
      <c r="F60" s="88"/>
      <c r="G60" s="88"/>
      <c r="H60" s="88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2.75">
      <c r="A61" s="88"/>
      <c r="B61" s="88"/>
      <c r="C61" s="88"/>
      <c r="D61" s="88"/>
      <c r="E61" s="88"/>
      <c r="F61" s="88"/>
      <c r="G61" s="88"/>
      <c r="H61" s="88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2.75">
      <c r="A62" s="89" t="s">
        <v>139</v>
      </c>
      <c r="B62" s="47"/>
      <c r="C62" s="47"/>
      <c r="D62" s="84"/>
      <c r="E62" s="90">
        <f>SUM(E6-E10+E22)</f>
        <v>8498977</v>
      </c>
      <c r="F62" s="90">
        <f>SUM(F6-F10+F22)</f>
        <v>661000</v>
      </c>
      <c r="G62" s="90">
        <f>SUM(G6-G10+G22)</f>
        <v>9055204.950999998</v>
      </c>
      <c r="H62" s="90">
        <f>SUM(H6-H10+H22)</f>
        <v>9363699.604480997</v>
      </c>
      <c r="I62" s="90">
        <f>SUM(I6-I10+I22)</f>
        <v>9683288.59121991</v>
      </c>
      <c r="J62" s="90">
        <f>SUM(J6-J10+J22)</f>
        <v>10014361.765517727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2.75">
      <c r="A63" s="47"/>
      <c r="B63" s="47"/>
      <c r="C63" s="47"/>
      <c r="D63" s="84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2.75">
      <c r="A64" s="47"/>
      <c r="B64" s="47"/>
      <c r="C64" s="47"/>
      <c r="D64" s="84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2.75">
      <c r="A65" s="47"/>
      <c r="B65" s="47"/>
      <c r="C65" s="47"/>
      <c r="D65" s="84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2.75">
      <c r="A66" s="47"/>
      <c r="B66" s="47"/>
      <c r="C66" s="47"/>
      <c r="D66" s="84">
        <v>2010</v>
      </c>
      <c r="E66" s="47">
        <v>2011</v>
      </c>
      <c r="F66" s="47">
        <v>2012</v>
      </c>
      <c r="G66" s="47">
        <v>2013</v>
      </c>
      <c r="H66" s="47">
        <v>2014</v>
      </c>
      <c r="I66" s="47">
        <v>2015</v>
      </c>
      <c r="J66" s="47">
        <v>2016</v>
      </c>
      <c r="K66" s="47">
        <v>2017</v>
      </c>
      <c r="L66" s="47">
        <v>2018</v>
      </c>
      <c r="M66" s="47">
        <v>2019</v>
      </c>
      <c r="N66" s="47">
        <v>2020</v>
      </c>
      <c r="O66" s="47">
        <v>2021</v>
      </c>
      <c r="P66" s="47">
        <v>2022</v>
      </c>
      <c r="Q66" s="47">
        <v>2023</v>
      </c>
      <c r="R66" s="47">
        <v>2024</v>
      </c>
      <c r="S66" s="47">
        <v>2025</v>
      </c>
      <c r="T66" s="47">
        <v>2026</v>
      </c>
      <c r="U66" s="47">
        <v>2027</v>
      </c>
      <c r="V66" s="47">
        <v>2028</v>
      </c>
      <c r="W66" s="47">
        <v>2029</v>
      </c>
      <c r="X66" s="47">
        <v>2030</v>
      </c>
      <c r="Y66" s="47">
        <v>2031</v>
      </c>
      <c r="Z66" s="47">
        <v>2032</v>
      </c>
    </row>
    <row r="67" spans="1:26" ht="51" customHeight="1">
      <c r="A67" s="53" t="s">
        <v>140</v>
      </c>
      <c r="B67" s="91" t="s">
        <v>141</v>
      </c>
      <c r="C67" s="91"/>
      <c r="D67" s="92">
        <v>6476116.28</v>
      </c>
      <c r="E67" s="92">
        <f>6671237.45+29896.55</f>
        <v>6701134</v>
      </c>
      <c r="F67" s="92">
        <f>7075113.44-29896.55</f>
        <v>7045216.890000001</v>
      </c>
      <c r="G67" s="92">
        <v>4964286.04</v>
      </c>
      <c r="H67" s="92">
        <v>4964286.84</v>
      </c>
      <c r="I67" s="92">
        <v>2562422.84</v>
      </c>
      <c r="J67" s="92">
        <v>2562422.84</v>
      </c>
      <c r="K67" s="92">
        <v>2562422.84</v>
      </c>
      <c r="L67" s="92">
        <v>2562422.84</v>
      </c>
      <c r="M67" s="92">
        <v>2562431.84</v>
      </c>
      <c r="N67" s="92">
        <v>1547478.73</v>
      </c>
      <c r="O67" s="93"/>
      <c r="P67" s="94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7" ht="12.75">
      <c r="A68" s="53"/>
      <c r="B68" s="96" t="s">
        <v>142</v>
      </c>
      <c r="C68" s="92">
        <f>E15</f>
        <v>9201048</v>
      </c>
      <c r="D68" s="97">
        <v>0</v>
      </c>
      <c r="E68" s="97">
        <v>0</v>
      </c>
      <c r="F68" s="97">
        <v>235924</v>
      </c>
      <c r="G68" s="97">
        <v>471848</v>
      </c>
      <c r="H68" s="97">
        <v>471848</v>
      </c>
      <c r="I68" s="97">
        <v>471848</v>
      </c>
      <c r="J68" s="97">
        <v>471848</v>
      </c>
      <c r="K68" s="97">
        <v>471848</v>
      </c>
      <c r="L68" s="97">
        <v>471848</v>
      </c>
      <c r="M68" s="97">
        <v>471848</v>
      </c>
      <c r="N68" s="97">
        <v>471848</v>
      </c>
      <c r="O68" s="97">
        <v>471848</v>
      </c>
      <c r="P68" s="97">
        <v>471848</v>
      </c>
      <c r="Q68" s="97">
        <v>471848</v>
      </c>
      <c r="R68" s="97">
        <v>471848</v>
      </c>
      <c r="S68" s="97">
        <v>471848</v>
      </c>
      <c r="T68" s="97">
        <v>471848</v>
      </c>
      <c r="U68" s="97">
        <v>471848</v>
      </c>
      <c r="V68" s="97">
        <v>471848</v>
      </c>
      <c r="W68" s="97">
        <v>471848</v>
      </c>
      <c r="X68" s="97">
        <v>471848</v>
      </c>
      <c r="Y68" s="97">
        <v>471860</v>
      </c>
      <c r="Z68" s="97"/>
      <c r="AA68" s="98">
        <f>SUM(F68:Y68)</f>
        <v>9201048</v>
      </c>
    </row>
    <row r="69" spans="1:27" ht="18" customHeight="1">
      <c r="A69" s="53"/>
      <c r="B69" s="47" t="s">
        <v>143</v>
      </c>
      <c r="C69" s="99">
        <f>F15</f>
        <v>8373827.890000001</v>
      </c>
      <c r="D69" s="95">
        <v>0</v>
      </c>
      <c r="E69" s="95">
        <v>0</v>
      </c>
      <c r="F69" s="95">
        <v>0</v>
      </c>
      <c r="G69" s="95">
        <f>SUM(C69/20)</f>
        <v>418691.39450000005</v>
      </c>
      <c r="H69" s="95">
        <f>G69</f>
        <v>418691.39450000005</v>
      </c>
      <c r="I69" s="95">
        <f>H69</f>
        <v>418691.39450000005</v>
      </c>
      <c r="J69" s="95">
        <f>I69</f>
        <v>418691.39450000005</v>
      </c>
      <c r="K69" s="95">
        <f>J69</f>
        <v>418691.39450000005</v>
      </c>
      <c r="L69" s="95">
        <f>K69</f>
        <v>418691.39450000005</v>
      </c>
      <c r="M69" s="95">
        <f>L69</f>
        <v>418691.39450000005</v>
      </c>
      <c r="N69" s="95">
        <f>M69</f>
        <v>418691.39450000005</v>
      </c>
      <c r="O69" s="95">
        <f>N69</f>
        <v>418691.39450000005</v>
      </c>
      <c r="P69" s="95">
        <f>O69</f>
        <v>418691.39450000005</v>
      </c>
      <c r="Q69" s="95">
        <f>P69</f>
        <v>418691.39450000005</v>
      </c>
      <c r="R69" s="95">
        <f>Q69</f>
        <v>418691.39450000005</v>
      </c>
      <c r="S69" s="95">
        <f>R69</f>
        <v>418691.39450000005</v>
      </c>
      <c r="T69" s="95">
        <f>S69</f>
        <v>418691.39450000005</v>
      </c>
      <c r="U69" s="95">
        <f>T69</f>
        <v>418691.39450000005</v>
      </c>
      <c r="V69" s="95">
        <f>U69</f>
        <v>418691.39450000005</v>
      </c>
      <c r="W69" s="95">
        <f>V69</f>
        <v>418691.39450000005</v>
      </c>
      <c r="X69" s="95">
        <f>W69</f>
        <v>418691.39450000005</v>
      </c>
      <c r="Y69" s="95">
        <f>X69</f>
        <v>418691.39450000005</v>
      </c>
      <c r="Z69" s="95">
        <f>Y69</f>
        <v>418691.39450000005</v>
      </c>
      <c r="AA69" s="98">
        <f>SUM(G69:Z69)</f>
        <v>8373827.890000003</v>
      </c>
    </row>
    <row r="70" spans="1:26" ht="12.75">
      <c r="A70" s="47"/>
      <c r="B70" s="47"/>
      <c r="C70" s="47"/>
      <c r="D70" s="84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2.75">
      <c r="A71" s="47"/>
      <c r="B71" s="47"/>
      <c r="C71" s="47"/>
      <c r="D71" s="84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2.75">
      <c r="A72" s="47"/>
      <c r="B72" s="100" t="s">
        <v>144</v>
      </c>
      <c r="C72" s="100"/>
      <c r="D72" s="84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2.75">
      <c r="A73" s="47"/>
      <c r="B73" s="47"/>
      <c r="C73" s="47"/>
      <c r="D73" s="84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43.5" customHeight="1">
      <c r="A74" s="53" t="s">
        <v>145</v>
      </c>
      <c r="B74" s="101" t="s">
        <v>146</v>
      </c>
      <c r="C74" s="101"/>
      <c r="D74" s="92">
        <v>1661049</v>
      </c>
      <c r="E74" s="92">
        <v>1661049</v>
      </c>
      <c r="F74" s="92">
        <v>894882</v>
      </c>
      <c r="G74" s="92">
        <v>695132</v>
      </c>
      <c r="H74" s="92">
        <v>695132</v>
      </c>
      <c r="I74" s="92">
        <v>471415</v>
      </c>
      <c r="J74" s="92">
        <v>471415</v>
      </c>
      <c r="K74" s="92">
        <v>471415</v>
      </c>
      <c r="L74" s="92">
        <v>471415</v>
      </c>
      <c r="M74" s="92">
        <v>471418</v>
      </c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12.75">
      <c r="A75" s="47"/>
      <c r="B75" s="47" t="s">
        <v>147</v>
      </c>
      <c r="C75" s="102">
        <f>D16</f>
        <v>3134809</v>
      </c>
      <c r="D75" s="97"/>
      <c r="E75" s="97">
        <v>313480.9</v>
      </c>
      <c r="F75" s="97">
        <v>313480.9</v>
      </c>
      <c r="G75" s="97">
        <v>313480.9</v>
      </c>
      <c r="H75" s="97">
        <v>313480.9</v>
      </c>
      <c r="I75" s="97">
        <v>313480.9</v>
      </c>
      <c r="J75" s="97">
        <v>313480.9</v>
      </c>
      <c r="K75" s="97">
        <v>313480.9</v>
      </c>
      <c r="L75" s="97">
        <v>313480.9</v>
      </c>
      <c r="M75" s="97">
        <v>313480.9</v>
      </c>
      <c r="N75" s="97">
        <v>313480.9</v>
      </c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5"/>
    </row>
    <row r="76" spans="1:27" ht="12.75">
      <c r="A76" s="53"/>
      <c r="B76" s="96" t="s">
        <v>142</v>
      </c>
      <c r="C76" s="102">
        <f>E16</f>
        <v>1466212</v>
      </c>
      <c r="D76" s="97"/>
      <c r="E76" s="97"/>
      <c r="F76" s="97">
        <v>37594</v>
      </c>
      <c r="G76" s="97">
        <v>75188</v>
      </c>
      <c r="H76" s="97">
        <v>75188</v>
      </c>
      <c r="I76" s="97">
        <v>75188</v>
      </c>
      <c r="J76" s="97">
        <v>75188</v>
      </c>
      <c r="K76" s="97">
        <v>75188</v>
      </c>
      <c r="L76" s="97">
        <v>75188</v>
      </c>
      <c r="M76" s="97">
        <v>75188</v>
      </c>
      <c r="N76" s="97">
        <v>75188</v>
      </c>
      <c r="O76" s="97">
        <v>75188</v>
      </c>
      <c r="P76" s="97">
        <v>75188</v>
      </c>
      <c r="Q76" s="97">
        <v>75188</v>
      </c>
      <c r="R76" s="97">
        <v>75188</v>
      </c>
      <c r="S76" s="97">
        <v>75188</v>
      </c>
      <c r="T76" s="97">
        <v>75188</v>
      </c>
      <c r="U76" s="97">
        <v>75188</v>
      </c>
      <c r="V76" s="97">
        <v>75188</v>
      </c>
      <c r="W76" s="97">
        <v>75188</v>
      </c>
      <c r="X76" s="97">
        <v>75188</v>
      </c>
      <c r="Y76" s="97">
        <v>75234</v>
      </c>
      <c r="Z76" s="95"/>
      <c r="AA76" s="98">
        <f>SUM(F76:Y76)</f>
        <v>1466212</v>
      </c>
    </row>
    <row r="77" spans="1:26" ht="12.75">
      <c r="A77" s="53"/>
      <c r="B77" s="47" t="s">
        <v>143</v>
      </c>
      <c r="C77" s="99">
        <f>F16</f>
        <v>2632687</v>
      </c>
      <c r="D77" s="95"/>
      <c r="E77" s="95"/>
      <c r="F77" s="95"/>
      <c r="G77" s="95">
        <f>SUM($C77/20)</f>
        <v>131634.35</v>
      </c>
      <c r="H77" s="95">
        <f>SUM($C77/20)</f>
        <v>131634.35</v>
      </c>
      <c r="I77" s="95">
        <f>SUM($C77/20)</f>
        <v>131634.35</v>
      </c>
      <c r="J77" s="95">
        <f>SUM($C77/20)</f>
        <v>131634.35</v>
      </c>
      <c r="K77" s="95">
        <f>SUM($C77/20)</f>
        <v>131634.35</v>
      </c>
      <c r="L77" s="95">
        <f>SUM($C77/20)</f>
        <v>131634.35</v>
      </c>
      <c r="M77" s="95">
        <f>SUM($C77/20)</f>
        <v>131634.35</v>
      </c>
      <c r="N77" s="95">
        <f>SUM($C77/20)</f>
        <v>131634.35</v>
      </c>
      <c r="O77" s="95">
        <f>SUM($C77/20)</f>
        <v>131634.35</v>
      </c>
      <c r="P77" s="95">
        <f>SUM($C77/20)</f>
        <v>131634.35</v>
      </c>
      <c r="Q77" s="95">
        <f>SUM($C77/20)</f>
        <v>131634.35</v>
      </c>
      <c r="R77" s="95">
        <f>SUM($C77/20)</f>
        <v>131634.35</v>
      </c>
      <c r="S77" s="95">
        <f>SUM($C77/20)</f>
        <v>131634.35</v>
      </c>
      <c r="T77" s="95">
        <f>SUM($C77/20)</f>
        <v>131634.35</v>
      </c>
      <c r="U77" s="95">
        <f>SUM($C77/20)</f>
        <v>131634.35</v>
      </c>
      <c r="V77" s="95">
        <f>SUM($C77/20)</f>
        <v>131634.35</v>
      </c>
      <c r="W77" s="95">
        <f>SUM($C77/20)</f>
        <v>131634.35</v>
      </c>
      <c r="X77" s="95">
        <f>SUM($C77/20)</f>
        <v>131634.35</v>
      </c>
      <c r="Y77" s="95">
        <f>SUM($C77/20)</f>
        <v>131634.35</v>
      </c>
      <c r="Z77" s="95">
        <f>SUM($C77/20)</f>
        <v>131634.35</v>
      </c>
    </row>
    <row r="78" spans="1:26" ht="12.75">
      <c r="A78" s="47"/>
      <c r="B78" s="47"/>
      <c r="C78" s="47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12.75">
      <c r="A79" s="47"/>
      <c r="B79" s="47"/>
      <c r="C79" s="47"/>
      <c r="D79" s="84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2.75">
      <c r="A80" s="47"/>
      <c r="B80" s="47"/>
      <c r="C80" s="47"/>
      <c r="D80" s="84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2" spans="5:11" ht="12.75">
      <c r="E82" s="103"/>
      <c r="F82" s="103"/>
      <c r="G82" s="103"/>
      <c r="H82" s="103"/>
      <c r="I82" s="103"/>
      <c r="J82" s="103"/>
      <c r="K82" s="103"/>
    </row>
    <row r="83" spans="5:10" ht="12.75">
      <c r="E83" s="103"/>
      <c r="F83" s="103"/>
      <c r="G83" s="103"/>
      <c r="H83" s="103"/>
      <c r="I83" s="103"/>
      <c r="J83" s="103"/>
    </row>
  </sheetData>
  <sheetProtection selectLockedCells="1" selectUnlockedCells="1"/>
  <mergeCells count="13">
    <mergeCell ref="Y1:Z1"/>
    <mergeCell ref="Y2:Z2"/>
    <mergeCell ref="A3:Z3"/>
    <mergeCell ref="W53:Y53"/>
    <mergeCell ref="W54:Y54"/>
    <mergeCell ref="W55:Z55"/>
    <mergeCell ref="W57:Z57"/>
    <mergeCell ref="A58:H59"/>
    <mergeCell ref="A60:H60"/>
    <mergeCell ref="A61:H61"/>
    <mergeCell ref="B67:C67"/>
    <mergeCell ref="B72:C72"/>
    <mergeCell ref="B74:C74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3"/>
  <sheetViews>
    <sheetView workbookViewId="0" topLeftCell="C1">
      <pane ySplit="6" topLeftCell="A76" activePane="bottomLeft" state="frozen"/>
      <selection pane="topLeft" activeCell="C1" sqref="C1"/>
      <selection pane="bottomLeft" activeCell="S49" sqref="S49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3.28125" style="0" customWidth="1"/>
    <col min="11" max="12" width="13.421875" style="0" customWidth="1"/>
    <col min="13" max="16384" width="9.28125" style="0" customWidth="1"/>
  </cols>
  <sheetData>
    <row r="1" spans="3:12" s="104" customFormat="1" ht="14.25" customHeight="1">
      <c r="C1" s="105"/>
      <c r="D1" s="105"/>
      <c r="E1" s="105"/>
      <c r="F1" s="105"/>
      <c r="G1" s="105"/>
      <c r="H1" s="105"/>
      <c r="I1" s="105"/>
      <c r="J1" s="4" t="s">
        <v>148</v>
      </c>
      <c r="K1" s="4"/>
      <c r="L1" s="4"/>
    </row>
    <row r="2" spans="3:12" s="104" customFormat="1" ht="39" customHeight="1">
      <c r="C2" s="105"/>
      <c r="D2" s="105"/>
      <c r="E2" s="105"/>
      <c r="F2" s="105"/>
      <c r="G2" s="105"/>
      <c r="H2" s="105"/>
      <c r="I2" s="105"/>
      <c r="J2" s="106" t="s">
        <v>149</v>
      </c>
      <c r="K2" s="106"/>
      <c r="L2" s="106"/>
    </row>
    <row r="3" spans="3:12" s="104" customFormat="1" ht="12.75">
      <c r="C3" s="107" t="s">
        <v>150</v>
      </c>
      <c r="D3" s="107"/>
      <c r="E3" s="107"/>
      <c r="F3" s="107"/>
      <c r="G3" s="107"/>
      <c r="H3" s="107"/>
      <c r="I3" s="107"/>
      <c r="J3" s="107" t="s">
        <v>62</v>
      </c>
      <c r="K3" s="107"/>
      <c r="L3" s="107"/>
    </row>
    <row r="4" s="104" customFormat="1" ht="7.5" customHeight="1"/>
    <row r="5" spans="2:12" s="104" customFormat="1" ht="73.5" customHeight="1">
      <c r="B5" s="108" t="s">
        <v>2</v>
      </c>
      <c r="C5" s="108" t="s">
        <v>151</v>
      </c>
      <c r="D5" s="108" t="s">
        <v>152</v>
      </c>
      <c r="E5" s="108" t="s">
        <v>153</v>
      </c>
      <c r="F5" s="108"/>
      <c r="G5" s="108" t="s">
        <v>154</v>
      </c>
      <c r="H5" s="108" t="s">
        <v>155</v>
      </c>
      <c r="I5" s="108"/>
      <c r="J5" s="108"/>
      <c r="K5" s="108"/>
      <c r="L5" s="108" t="s">
        <v>156</v>
      </c>
    </row>
    <row r="6" spans="2:12" s="104" customFormat="1" ht="9" customHeight="1">
      <c r="B6" s="108"/>
      <c r="C6" s="108"/>
      <c r="D6" s="108"/>
      <c r="E6" s="108" t="s">
        <v>157</v>
      </c>
      <c r="F6" s="108" t="s">
        <v>158</v>
      </c>
      <c r="G6" s="108"/>
      <c r="H6" s="108">
        <v>2012</v>
      </c>
      <c r="I6" s="108">
        <v>2013</v>
      </c>
      <c r="J6" s="108">
        <v>2014</v>
      </c>
      <c r="K6" s="108">
        <v>2015</v>
      </c>
      <c r="L6" s="108"/>
    </row>
    <row r="7" spans="2:12" s="104" customFormat="1" ht="12.75"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</row>
    <row r="8" spans="2:12" s="110" customFormat="1" ht="30.75" customHeight="1">
      <c r="B8" s="111"/>
      <c r="C8" s="112" t="s">
        <v>159</v>
      </c>
      <c r="D8" s="112"/>
      <c r="E8" s="112"/>
      <c r="F8" s="112"/>
      <c r="G8" s="113">
        <f>SUM(G9,G10)</f>
        <v>67522991.32</v>
      </c>
      <c r="H8" s="113">
        <f>SUM(H9,H10)</f>
        <v>23241756</v>
      </c>
      <c r="I8" s="113">
        <f>SUM(I9,I10)</f>
        <v>6408148</v>
      </c>
      <c r="J8" s="113">
        <f>SUM(J9,J10)</f>
        <v>1530000</v>
      </c>
      <c r="K8" s="113">
        <f>SUM(K9,K10)</f>
        <v>1500000</v>
      </c>
      <c r="L8" s="113">
        <f>SUM(L9,L10)</f>
        <v>0</v>
      </c>
    </row>
    <row r="9" spans="2:12" s="114" customFormat="1" ht="12.75">
      <c r="B9" s="115"/>
      <c r="C9" s="116" t="s">
        <v>160</v>
      </c>
      <c r="D9" s="116"/>
      <c r="E9" s="116"/>
      <c r="F9" s="116"/>
      <c r="G9" s="117">
        <f>SUM(G12,G75,G80)</f>
        <v>1868108.32</v>
      </c>
      <c r="H9" s="117">
        <f>SUM(H12,H75,H80)</f>
        <v>468185</v>
      </c>
      <c r="I9" s="117">
        <f>SUM(I12,I75,I80)</f>
        <v>55620</v>
      </c>
      <c r="J9" s="117">
        <f>SUM(J12,J75,J80)</f>
        <v>30000</v>
      </c>
      <c r="K9" s="117">
        <f>SUM(K12,K75,K80)</f>
        <v>0</v>
      </c>
      <c r="L9" s="117">
        <f>SUM(L12,L75,L80)</f>
        <v>0</v>
      </c>
    </row>
    <row r="10" spans="2:16" s="114" customFormat="1" ht="12.75">
      <c r="B10" s="115"/>
      <c r="C10" s="116" t="s">
        <v>161</v>
      </c>
      <c r="D10" s="116"/>
      <c r="E10" s="116"/>
      <c r="F10" s="116"/>
      <c r="G10" s="117">
        <f>SUM(G13,G76)</f>
        <v>65654883</v>
      </c>
      <c r="H10" s="117">
        <f>SUM(H13,H76)</f>
        <v>22773571</v>
      </c>
      <c r="I10" s="117">
        <f>SUM(I13,I76)</f>
        <v>6352528</v>
      </c>
      <c r="J10" s="117">
        <f>SUM(J13,J76)</f>
        <v>1500000</v>
      </c>
      <c r="K10" s="117">
        <f>SUM(K13,K76)</f>
        <v>1500000</v>
      </c>
      <c r="L10" s="117">
        <f>SUM(L13,L76)</f>
        <v>0</v>
      </c>
      <c r="M10" s="118"/>
      <c r="N10" s="118"/>
      <c r="O10" s="118"/>
      <c r="P10" s="118"/>
    </row>
    <row r="11" spans="2:12" s="114" customFormat="1" ht="12.75">
      <c r="B11" s="115"/>
      <c r="C11" s="119" t="s">
        <v>162</v>
      </c>
      <c r="D11" s="119"/>
      <c r="E11" s="119"/>
      <c r="F11" s="119"/>
      <c r="G11" s="120">
        <f>SUM(G12,G13)</f>
        <v>66822991.32</v>
      </c>
      <c r="H11" s="120">
        <f>SUM(H12,H13)</f>
        <v>23049756</v>
      </c>
      <c r="I11" s="120">
        <f>SUM(I12,I13)</f>
        <v>6408148</v>
      </c>
      <c r="J11" s="120">
        <f>SUM(J12,J13)</f>
        <v>1530000</v>
      </c>
      <c r="K11" s="120">
        <f>SUM(K12,K13)</f>
        <v>1500000</v>
      </c>
      <c r="L11" s="120">
        <f>SUM(L12,L13)</f>
        <v>0</v>
      </c>
    </row>
    <row r="12" spans="2:12" s="114" customFormat="1" ht="12.75">
      <c r="B12" s="115"/>
      <c r="C12" s="121" t="s">
        <v>160</v>
      </c>
      <c r="D12" s="121"/>
      <c r="E12" s="121"/>
      <c r="F12" s="121"/>
      <c r="G12" s="117">
        <f>SUM(G15,G57,G60)</f>
        <v>1168108.32</v>
      </c>
      <c r="H12" s="117">
        <f>SUM(H15,H57,H60)</f>
        <v>276185</v>
      </c>
      <c r="I12" s="117">
        <f>SUM(I15,I57,I60)</f>
        <v>55620</v>
      </c>
      <c r="J12" s="117">
        <f>SUM(J15,J57,J60)</f>
        <v>30000</v>
      </c>
      <c r="K12" s="117">
        <f>SUM(K15,K57,K60)</f>
        <v>0</v>
      </c>
      <c r="L12" s="117">
        <f>SUM(L15,L57,L60)</f>
        <v>0</v>
      </c>
    </row>
    <row r="13" spans="2:12" s="114" customFormat="1" ht="12.75">
      <c r="B13" s="115"/>
      <c r="C13" s="121" t="s">
        <v>161</v>
      </c>
      <c r="D13" s="121"/>
      <c r="E13" s="121"/>
      <c r="F13" s="121"/>
      <c r="G13" s="117">
        <f>SUM(G16,G58,G61)</f>
        <v>65654883</v>
      </c>
      <c r="H13" s="117">
        <f>SUM(H16,H58,H61)</f>
        <v>22773571</v>
      </c>
      <c r="I13" s="117">
        <f>SUM(I16,I58,I61)</f>
        <v>6352528</v>
      </c>
      <c r="J13" s="117">
        <f>SUM(J16,J58,J61)</f>
        <v>1500000</v>
      </c>
      <c r="K13" s="117">
        <f>SUM(K16,K58,K61)</f>
        <v>1500000</v>
      </c>
      <c r="L13" s="117">
        <f>SUM(L16,L58,L61)</f>
        <v>0</v>
      </c>
    </row>
    <row r="14" spans="2:12" s="122" customFormat="1" ht="30.75" customHeight="1">
      <c r="B14" s="123"/>
      <c r="C14" s="124" t="s">
        <v>163</v>
      </c>
      <c r="D14" s="124"/>
      <c r="E14" s="124"/>
      <c r="F14" s="124"/>
      <c r="G14" s="120">
        <f>SUM(G15,G16)</f>
        <v>57722991.32</v>
      </c>
      <c r="H14" s="120">
        <f>SUM(H15,H16)</f>
        <v>21329756</v>
      </c>
      <c r="I14" s="120">
        <f>SUM(I15,I16)</f>
        <v>3618148</v>
      </c>
      <c r="J14" s="120">
        <f>SUM(J15,J16)</f>
        <v>30000</v>
      </c>
      <c r="K14" s="120">
        <f>SUM(K15,K16)</f>
        <v>0</v>
      </c>
      <c r="L14" s="120">
        <f>SUM(L15,L16)</f>
        <v>0</v>
      </c>
    </row>
    <row r="15" spans="2:12" s="122" customFormat="1" ht="12.75">
      <c r="B15" s="123"/>
      <c r="C15" s="125" t="s">
        <v>164</v>
      </c>
      <c r="D15" s="125"/>
      <c r="E15" s="125"/>
      <c r="F15" s="125"/>
      <c r="G15" s="117">
        <f>SUM(G18,G21,G24,G27,G30,G33,G36,G39,G42,G45,G48,G51,G54)</f>
        <v>1168108.32</v>
      </c>
      <c r="H15" s="117">
        <f>SUM(H18,H21,H24,H27,H30,H33,H36,H39,H42,H45,H48,H51,H54)</f>
        <v>276185</v>
      </c>
      <c r="I15" s="117">
        <f>SUM(I18,I21,I24,I27,I30,I33,I36,I39,I42,I45,I48,I51,I54)</f>
        <v>55620</v>
      </c>
      <c r="J15" s="117">
        <f>SUM(J18,J21,J24,J27,J30,J33,J36,J39,J42,J45,J48,J51,J54)</f>
        <v>30000</v>
      </c>
      <c r="K15" s="117">
        <f>SUM(K18,K21,K24,K27,K30,K33,K36,K39,K42,K45,K48,K51,K54)</f>
        <v>0</v>
      </c>
      <c r="L15" s="117">
        <f>SUM(L18,L21,L24,L27,L30,L33,L36,L39,L42,L45,L48,L51,L54)</f>
        <v>0</v>
      </c>
    </row>
    <row r="16" spans="2:12" s="122" customFormat="1" ht="12.75">
      <c r="B16" s="123"/>
      <c r="C16" s="125" t="s">
        <v>165</v>
      </c>
      <c r="D16" s="125"/>
      <c r="E16" s="125"/>
      <c r="F16" s="125"/>
      <c r="G16" s="117">
        <f>SUM(G19,G22,G25,G28,G31,G34,G37,G40,G43,G46,G49,G52,G55)</f>
        <v>56554883</v>
      </c>
      <c r="H16" s="117">
        <f>SUM(H19,H22,H25,H28,H31,H34,H37,H40,H43,H46,H49,H52,H55)</f>
        <v>21053571</v>
      </c>
      <c r="I16" s="117">
        <f>SUM(I19,I22,I25,I28,I31,I34,I37,I40,I43,I46,I49,I52,I55)</f>
        <v>3562528</v>
      </c>
      <c r="J16" s="117">
        <f>SUM(J19,J22,J25,J28,J31,J34,J37,J40,J43,J46,J49,J52,J55)</f>
        <v>0</v>
      </c>
      <c r="K16" s="117">
        <f>SUM(K19,K22,K25,K28,K31,K34,K37,K40,K43,K46,K49,K52,K55)</f>
        <v>0</v>
      </c>
      <c r="L16" s="117">
        <f>SUM(L19,L22,L25,L28,L31,L34,L37,L40,L43,L46,L49,L52,L55)</f>
        <v>0</v>
      </c>
    </row>
    <row r="17" spans="2:12" s="122" customFormat="1" ht="88.5" customHeight="1">
      <c r="B17" s="123"/>
      <c r="C17" s="126" t="s">
        <v>166</v>
      </c>
      <c r="D17" s="127" t="s">
        <v>167</v>
      </c>
      <c r="E17" s="128">
        <v>2011</v>
      </c>
      <c r="F17" s="129">
        <v>2012</v>
      </c>
      <c r="G17" s="130">
        <f>SUM(G18:G19)</f>
        <v>6521671</v>
      </c>
      <c r="H17" s="130">
        <f>SUM(H18:H19)</f>
        <v>5403540</v>
      </c>
      <c r="I17" s="130">
        <f>SUM(I18:I19)</f>
        <v>0</v>
      </c>
      <c r="J17" s="130">
        <f>SUM(J18:J19)</f>
        <v>0</v>
      </c>
      <c r="K17" s="130">
        <f>SUM(K18:K19)</f>
        <v>0</v>
      </c>
      <c r="L17" s="130">
        <f>SUM(L18:L19)</f>
        <v>0</v>
      </c>
    </row>
    <row r="18" spans="2:12" s="122" customFormat="1" ht="12.75">
      <c r="B18" s="123"/>
      <c r="C18" s="125" t="s">
        <v>160</v>
      </c>
      <c r="D18" s="131"/>
      <c r="E18" s="132"/>
      <c r="F18" s="133"/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</row>
    <row r="19" spans="2:12" s="122" customFormat="1" ht="15.75" customHeight="1">
      <c r="B19" s="123"/>
      <c r="C19" s="125" t="s">
        <v>161</v>
      </c>
      <c r="D19" s="131"/>
      <c r="E19" s="132"/>
      <c r="F19" s="133"/>
      <c r="G19" s="134">
        <v>6521671</v>
      </c>
      <c r="H19" s="134">
        <v>5403540</v>
      </c>
      <c r="I19" s="134">
        <v>0</v>
      </c>
      <c r="J19" s="134">
        <v>0</v>
      </c>
      <c r="K19" s="134">
        <v>0</v>
      </c>
      <c r="L19" s="134">
        <v>0</v>
      </c>
    </row>
    <row r="20" spans="2:12" s="122" customFormat="1" ht="91.5" customHeight="1">
      <c r="B20" s="123"/>
      <c r="C20" s="126" t="s">
        <v>168</v>
      </c>
      <c r="D20" s="127" t="s">
        <v>167</v>
      </c>
      <c r="E20" s="128">
        <v>2010</v>
      </c>
      <c r="F20" s="129">
        <v>2012</v>
      </c>
      <c r="G20" s="130">
        <f>SUM(G21:G22)</f>
        <v>3260000</v>
      </c>
      <c r="H20" s="130">
        <f>SUM(H21:H22)</f>
        <v>304220</v>
      </c>
      <c r="I20" s="130">
        <f>SUM(I21:I22)</f>
        <v>0</v>
      </c>
      <c r="J20" s="130">
        <f>SUM(J21:J22)</f>
        <v>0</v>
      </c>
      <c r="K20" s="130">
        <f>SUM(K21:K22)</f>
        <v>0</v>
      </c>
      <c r="L20" s="130">
        <f>SUM(L21:L22)</f>
        <v>0</v>
      </c>
    </row>
    <row r="21" spans="2:12" s="122" customFormat="1" ht="12.75">
      <c r="B21" s="123"/>
      <c r="C21" s="125" t="s">
        <v>160</v>
      </c>
      <c r="D21" s="131"/>
      <c r="E21" s="132"/>
      <c r="F21" s="133"/>
      <c r="G21" s="135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</row>
    <row r="22" spans="2:12" ht="12.75">
      <c r="B22" s="123"/>
      <c r="C22" s="125" t="s">
        <v>161</v>
      </c>
      <c r="D22" s="131"/>
      <c r="E22" s="132"/>
      <c r="F22" s="133"/>
      <c r="G22" s="134">
        <v>3260000</v>
      </c>
      <c r="H22" s="134">
        <v>304220</v>
      </c>
      <c r="I22" s="134">
        <v>0</v>
      </c>
      <c r="J22" s="134">
        <v>0</v>
      </c>
      <c r="K22" s="134">
        <v>0</v>
      </c>
      <c r="L22" s="134">
        <v>0</v>
      </c>
    </row>
    <row r="23" spans="2:12" ht="92.25" customHeight="1">
      <c r="B23" s="123"/>
      <c r="C23" s="126" t="s">
        <v>169</v>
      </c>
      <c r="D23" s="127" t="s">
        <v>167</v>
      </c>
      <c r="E23" s="128">
        <v>2008</v>
      </c>
      <c r="F23" s="129">
        <v>2012</v>
      </c>
      <c r="G23" s="130">
        <f>SUM(G24:G25)</f>
        <v>6837213</v>
      </c>
      <c r="H23" s="130">
        <f>SUM(H24:H25)</f>
        <v>1600267</v>
      </c>
      <c r="I23" s="130">
        <f>SUM(I24:I25)</f>
        <v>0</v>
      </c>
      <c r="J23" s="130">
        <f>SUM(J24:J25)</f>
        <v>0</v>
      </c>
      <c r="K23" s="130">
        <f>SUM(K24:K25)</f>
        <v>0</v>
      </c>
      <c r="L23" s="130">
        <f>SUM(L24:L25)</f>
        <v>0</v>
      </c>
    </row>
    <row r="24" spans="2:12" ht="12.75">
      <c r="B24" s="123"/>
      <c r="C24" s="125" t="s">
        <v>160</v>
      </c>
      <c r="D24" s="131"/>
      <c r="E24" s="132"/>
      <c r="F24" s="133"/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</row>
    <row r="25" spans="2:12" ht="12.75">
      <c r="B25" s="123"/>
      <c r="C25" s="125" t="s">
        <v>161</v>
      </c>
      <c r="D25" s="131"/>
      <c r="E25" s="132"/>
      <c r="F25" s="133"/>
      <c r="G25" s="134">
        <v>6837213</v>
      </c>
      <c r="H25" s="134">
        <v>1600267</v>
      </c>
      <c r="I25" s="134">
        <v>0</v>
      </c>
      <c r="J25" s="134">
        <v>0</v>
      </c>
      <c r="K25" s="134">
        <v>0</v>
      </c>
      <c r="L25" s="134">
        <v>0</v>
      </c>
    </row>
    <row r="26" spans="2:12" ht="104.25" customHeight="1">
      <c r="B26" s="123"/>
      <c r="C26" s="126" t="s">
        <v>170</v>
      </c>
      <c r="D26" s="127" t="s">
        <v>167</v>
      </c>
      <c r="E26" s="128">
        <v>2008</v>
      </c>
      <c r="F26" s="129">
        <v>2012</v>
      </c>
      <c r="G26" s="130">
        <f>SUM(G27:G28)</f>
        <v>22532072</v>
      </c>
      <c r="H26" s="130">
        <f>SUM(H27:H28)</f>
        <v>7983464</v>
      </c>
      <c r="I26" s="130">
        <f>SUM(I27:I28)</f>
        <v>0</v>
      </c>
      <c r="J26" s="130">
        <f>SUM(J27:J28)</f>
        <v>0</v>
      </c>
      <c r="K26" s="130"/>
      <c r="L26" s="130">
        <f>SUM(L27:L28)</f>
        <v>0</v>
      </c>
    </row>
    <row r="27" spans="2:12" ht="14.25" customHeight="1">
      <c r="B27" s="123"/>
      <c r="C27" s="125" t="s">
        <v>160</v>
      </c>
      <c r="D27" s="131"/>
      <c r="E27" s="132"/>
      <c r="F27" s="133"/>
      <c r="G27" s="134">
        <v>0</v>
      </c>
      <c r="H27" s="134">
        <v>0</v>
      </c>
      <c r="I27" s="134">
        <v>0</v>
      </c>
      <c r="J27" s="134">
        <v>0</v>
      </c>
      <c r="K27" s="134"/>
      <c r="L27" s="134">
        <v>0</v>
      </c>
    </row>
    <row r="28" spans="2:12" ht="12.75">
      <c r="B28" s="123"/>
      <c r="C28" s="125" t="s">
        <v>161</v>
      </c>
      <c r="D28" s="131"/>
      <c r="E28" s="132"/>
      <c r="F28" s="133"/>
      <c r="G28" s="134">
        <v>22532072</v>
      </c>
      <c r="H28" s="134">
        <v>7983464</v>
      </c>
      <c r="I28" s="134">
        <v>0</v>
      </c>
      <c r="J28" s="134">
        <v>0</v>
      </c>
      <c r="K28" s="134"/>
      <c r="L28" s="134">
        <v>0</v>
      </c>
    </row>
    <row r="29" spans="2:12" ht="97.5" customHeight="1">
      <c r="B29" s="123"/>
      <c r="C29" s="126" t="s">
        <v>171</v>
      </c>
      <c r="D29" s="127" t="s">
        <v>167</v>
      </c>
      <c r="E29" s="128">
        <v>2008</v>
      </c>
      <c r="F29" s="129">
        <v>2013</v>
      </c>
      <c r="G29" s="130">
        <f>SUM(G30:G31)</f>
        <v>11585671</v>
      </c>
      <c r="H29" s="130">
        <f>SUM(H30:H31)</f>
        <v>2486352</v>
      </c>
      <c r="I29" s="130">
        <f>SUM(I30:I31)</f>
        <v>1100000</v>
      </c>
      <c r="J29" s="130">
        <f>SUM(J30:J31)</f>
        <v>0</v>
      </c>
      <c r="K29" s="130">
        <f>SUM(K30:K31)</f>
        <v>0</v>
      </c>
      <c r="L29" s="130">
        <f>SUM(L30:L31)</f>
        <v>0</v>
      </c>
    </row>
    <row r="30" spans="2:12" ht="12.75">
      <c r="B30" s="123"/>
      <c r="C30" s="125" t="s">
        <v>160</v>
      </c>
      <c r="D30" s="131"/>
      <c r="E30" s="132"/>
      <c r="F30" s="133"/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</row>
    <row r="31" spans="2:12" ht="12.75">
      <c r="B31" s="123"/>
      <c r="C31" s="125" t="s">
        <v>161</v>
      </c>
      <c r="D31" s="131"/>
      <c r="E31" s="132"/>
      <c r="F31" s="133"/>
      <c r="G31" s="134">
        <v>11585671</v>
      </c>
      <c r="H31" s="134">
        <v>2486352</v>
      </c>
      <c r="I31" s="134">
        <v>1100000</v>
      </c>
      <c r="J31" s="134">
        <v>0</v>
      </c>
      <c r="K31" s="134">
        <v>0</v>
      </c>
      <c r="L31" s="134">
        <v>0</v>
      </c>
    </row>
    <row r="32" spans="2:12" ht="68.25" customHeight="1">
      <c r="B32" s="123"/>
      <c r="C32" s="126" t="s">
        <v>172</v>
      </c>
      <c r="D32" s="127" t="s">
        <v>167</v>
      </c>
      <c r="E32" s="128">
        <v>2012</v>
      </c>
      <c r="F32" s="128">
        <v>2013</v>
      </c>
      <c r="G32" s="130">
        <f>SUM(G33:G34)</f>
        <v>4351456</v>
      </c>
      <c r="H32" s="130">
        <f>SUM(H33:H34)</f>
        <v>2175728</v>
      </c>
      <c r="I32" s="130">
        <f>SUM(I33:I34)</f>
        <v>2175728</v>
      </c>
      <c r="J32" s="130">
        <f>SUM(J33:J34)</f>
        <v>0</v>
      </c>
      <c r="K32" s="130">
        <f>SUM(K33:K34)</f>
        <v>0</v>
      </c>
      <c r="L32" s="130">
        <f>SUM(L33:L34)</f>
        <v>0</v>
      </c>
    </row>
    <row r="33" spans="2:12" ht="12.75">
      <c r="B33" s="123"/>
      <c r="C33" s="125" t="s">
        <v>160</v>
      </c>
      <c r="D33" s="131"/>
      <c r="E33" s="132"/>
      <c r="F33" s="133"/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</row>
    <row r="34" spans="2:12" ht="12.75">
      <c r="B34" s="123"/>
      <c r="C34" s="125" t="s">
        <v>161</v>
      </c>
      <c r="D34" s="131"/>
      <c r="E34" s="132"/>
      <c r="F34" s="133"/>
      <c r="G34" s="134">
        <v>4351456</v>
      </c>
      <c r="H34" s="134">
        <v>2175728</v>
      </c>
      <c r="I34" s="134">
        <v>2175728</v>
      </c>
      <c r="J34" s="134">
        <v>0</v>
      </c>
      <c r="K34" s="134">
        <v>0</v>
      </c>
      <c r="L34" s="134">
        <v>0</v>
      </c>
    </row>
    <row r="35" spans="2:12" ht="82.5" customHeight="1">
      <c r="B35" s="123"/>
      <c r="C35" s="136" t="s">
        <v>173</v>
      </c>
      <c r="D35" s="127" t="s">
        <v>167</v>
      </c>
      <c r="E35" s="128">
        <v>2011</v>
      </c>
      <c r="F35" s="129">
        <v>2012</v>
      </c>
      <c r="G35" s="130">
        <f>SUM(G36:G37)</f>
        <v>860000</v>
      </c>
      <c r="H35" s="130">
        <f>SUM(H36:H37)</f>
        <v>780000</v>
      </c>
      <c r="I35" s="130">
        <f>SUM(I36:I37)</f>
        <v>0</v>
      </c>
      <c r="J35" s="130">
        <f>SUM(J36:J37)</f>
        <v>0</v>
      </c>
      <c r="K35" s="130">
        <f>SUM(K36:K37)</f>
        <v>0</v>
      </c>
      <c r="L35" s="130">
        <f>SUM(L36:L37)</f>
        <v>0</v>
      </c>
    </row>
    <row r="36" spans="2:12" ht="12.75">
      <c r="B36" s="123"/>
      <c r="C36" s="125" t="s">
        <v>160</v>
      </c>
      <c r="D36" s="131"/>
      <c r="E36" s="132"/>
      <c r="F36" s="133"/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</row>
    <row r="37" spans="2:12" ht="12.75">
      <c r="B37" s="123"/>
      <c r="C37" s="125" t="s">
        <v>161</v>
      </c>
      <c r="D37" s="131"/>
      <c r="E37" s="132"/>
      <c r="F37" s="133"/>
      <c r="G37" s="134">
        <v>860000</v>
      </c>
      <c r="H37" s="134">
        <v>780000</v>
      </c>
      <c r="I37" s="134">
        <v>0</v>
      </c>
      <c r="J37" s="134">
        <v>0</v>
      </c>
      <c r="K37" s="134">
        <v>0</v>
      </c>
      <c r="L37" s="134">
        <v>0</v>
      </c>
    </row>
    <row r="38" spans="2:12" ht="103.5" customHeight="1">
      <c r="B38" s="123"/>
      <c r="C38" s="136" t="s">
        <v>174</v>
      </c>
      <c r="D38" s="127" t="s">
        <v>167</v>
      </c>
      <c r="E38" s="128">
        <v>2012</v>
      </c>
      <c r="F38" s="129">
        <v>2013</v>
      </c>
      <c r="G38" s="130">
        <f>SUM(G39:G40)</f>
        <v>606800</v>
      </c>
      <c r="H38" s="130">
        <f>SUM(H39:H40)</f>
        <v>320000</v>
      </c>
      <c r="I38" s="130">
        <f>SUM(I39:I40)</f>
        <v>286800</v>
      </c>
      <c r="J38" s="130">
        <f>SUM(J39:J40)</f>
        <v>0</v>
      </c>
      <c r="K38" s="130">
        <f>SUM(K39:K40)</f>
        <v>0</v>
      </c>
      <c r="L38" s="130">
        <f>SUM(L39:L40)</f>
        <v>0</v>
      </c>
    </row>
    <row r="39" spans="2:12" ht="12.75">
      <c r="B39" s="123"/>
      <c r="C39" s="125" t="s">
        <v>160</v>
      </c>
      <c r="D39" s="131"/>
      <c r="E39" s="132"/>
      <c r="F39" s="133"/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</row>
    <row r="40" spans="2:12" ht="12.75">
      <c r="B40" s="123"/>
      <c r="C40" s="125" t="s">
        <v>161</v>
      </c>
      <c r="D40" s="131"/>
      <c r="E40" s="132"/>
      <c r="F40" s="133"/>
      <c r="G40" s="134">
        <v>606800</v>
      </c>
      <c r="H40" s="134">
        <v>320000</v>
      </c>
      <c r="I40" s="134">
        <v>286800</v>
      </c>
      <c r="J40" s="134">
        <v>0</v>
      </c>
      <c r="K40" s="134">
        <v>0</v>
      </c>
      <c r="L40" s="134">
        <v>0</v>
      </c>
    </row>
    <row r="41" spans="2:12" ht="111.75" customHeight="1">
      <c r="B41" s="123"/>
      <c r="C41" s="126" t="s">
        <v>175</v>
      </c>
      <c r="D41" s="127" t="s">
        <v>176</v>
      </c>
      <c r="E41" s="128">
        <v>2009</v>
      </c>
      <c r="F41" s="129">
        <v>2012</v>
      </c>
      <c r="G41" s="130">
        <f>SUM(G42:G43)</f>
        <v>120775</v>
      </c>
      <c r="H41" s="130">
        <f>SUM(H42:H43)</f>
        <v>3425</v>
      </c>
      <c r="I41" s="130">
        <f>SUM(I42:I43)</f>
        <v>0</v>
      </c>
      <c r="J41" s="130">
        <f>SUM(J42:J43)</f>
        <v>0</v>
      </c>
      <c r="K41" s="130">
        <f>SUM(K42:K43)</f>
        <v>0</v>
      </c>
      <c r="L41" s="130">
        <f>SUM(L42:L43)</f>
        <v>0</v>
      </c>
    </row>
    <row r="42" spans="2:12" ht="12.75">
      <c r="B42" s="123"/>
      <c r="C42" s="125" t="s">
        <v>160</v>
      </c>
      <c r="D42" s="132"/>
      <c r="E42" s="132"/>
      <c r="F42" s="133"/>
      <c r="G42" s="134">
        <v>120775</v>
      </c>
      <c r="H42" s="134">
        <v>3425</v>
      </c>
      <c r="I42" s="134">
        <v>0</v>
      </c>
      <c r="J42" s="134">
        <v>0</v>
      </c>
      <c r="K42" s="134">
        <v>0</v>
      </c>
      <c r="L42" s="134">
        <v>0</v>
      </c>
    </row>
    <row r="43" spans="2:12" ht="12.75">
      <c r="B43" s="123"/>
      <c r="C43" s="125" t="s">
        <v>161</v>
      </c>
      <c r="D43" s="132"/>
      <c r="E43" s="132"/>
      <c r="F43" s="133"/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</row>
    <row r="44" spans="2:12" ht="93.75" customHeight="1">
      <c r="B44" s="123"/>
      <c r="C44" s="126" t="s">
        <v>177</v>
      </c>
      <c r="D44" s="127" t="s">
        <v>178</v>
      </c>
      <c r="E44" s="128">
        <v>2010</v>
      </c>
      <c r="F44" s="129">
        <v>2012</v>
      </c>
      <c r="G44" s="130">
        <f>SUM(G45:G46)</f>
        <v>718720</v>
      </c>
      <c r="H44" s="130">
        <f>SUM(H45:H46)</f>
        <v>221440</v>
      </c>
      <c r="I44" s="130">
        <f>SUM(I45:I46)</f>
        <v>0</v>
      </c>
      <c r="J44" s="130">
        <f>SUM(J45:J46)</f>
        <v>0</v>
      </c>
      <c r="K44" s="130">
        <f>SUM(K45:K46)</f>
        <v>0</v>
      </c>
      <c r="L44" s="130">
        <f>SUM(L45:L46)</f>
        <v>0</v>
      </c>
    </row>
    <row r="45" spans="2:12" ht="12.75">
      <c r="B45" s="123"/>
      <c r="C45" s="125" t="s">
        <v>160</v>
      </c>
      <c r="D45" s="137"/>
      <c r="E45" s="132"/>
      <c r="F45" s="133"/>
      <c r="G45" s="134">
        <v>718720</v>
      </c>
      <c r="H45" s="134">
        <v>221440</v>
      </c>
      <c r="I45" s="134">
        <v>0</v>
      </c>
      <c r="J45" s="134">
        <v>0</v>
      </c>
      <c r="K45" s="134">
        <v>0</v>
      </c>
      <c r="L45" s="134">
        <v>0</v>
      </c>
    </row>
    <row r="46" spans="2:12" ht="13.5" customHeight="1">
      <c r="B46" s="123"/>
      <c r="C46" s="125" t="s">
        <v>161</v>
      </c>
      <c r="D46" s="137"/>
      <c r="E46" s="132"/>
      <c r="F46" s="133"/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</row>
    <row r="47" spans="2:12" ht="78.75" customHeight="1">
      <c r="B47" s="123"/>
      <c r="C47" s="126" t="s">
        <v>179</v>
      </c>
      <c r="D47" s="127" t="s">
        <v>180</v>
      </c>
      <c r="E47" s="128">
        <v>2010</v>
      </c>
      <c r="F47" s="129">
        <v>2013</v>
      </c>
      <c r="G47" s="130">
        <f>SUM(G48:G49)</f>
        <v>164260</v>
      </c>
      <c r="H47" s="130">
        <f>SUM(H48:H49)</f>
        <v>26020</v>
      </c>
      <c r="I47" s="130">
        <f>SUM(I48:I49)</f>
        <v>15620</v>
      </c>
      <c r="J47" s="130">
        <f>SUM(J48:J49)</f>
        <v>0</v>
      </c>
      <c r="K47" s="130">
        <f>SUM(K48:K49)</f>
        <v>0</v>
      </c>
      <c r="L47" s="130">
        <f>SUM(L48:L49)</f>
        <v>0</v>
      </c>
    </row>
    <row r="48" spans="2:12" ht="14.25" customHeight="1">
      <c r="B48" s="123"/>
      <c r="C48" s="125" t="s">
        <v>160</v>
      </c>
      <c r="D48" s="132"/>
      <c r="E48" s="132"/>
      <c r="F48" s="133"/>
      <c r="G48" s="134">
        <v>164260</v>
      </c>
      <c r="H48" s="134">
        <v>26020</v>
      </c>
      <c r="I48" s="134">
        <v>15620</v>
      </c>
      <c r="J48" s="134">
        <v>0</v>
      </c>
      <c r="K48" s="134">
        <v>0</v>
      </c>
      <c r="L48" s="134">
        <v>0</v>
      </c>
    </row>
    <row r="49" spans="2:12" ht="12" customHeight="1">
      <c r="B49" s="123"/>
      <c r="C49" s="125" t="s">
        <v>161</v>
      </c>
      <c r="D49" s="132"/>
      <c r="E49" s="132"/>
      <c r="F49" s="133"/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</row>
    <row r="50" spans="2:12" ht="78.75" customHeight="1">
      <c r="B50" s="123"/>
      <c r="C50" s="126" t="s">
        <v>181</v>
      </c>
      <c r="D50" s="127" t="s">
        <v>176</v>
      </c>
      <c r="E50" s="128">
        <v>2010</v>
      </c>
      <c r="F50" s="129">
        <v>2013</v>
      </c>
      <c r="G50" s="130">
        <f>SUM(G51:G52)</f>
        <v>120000</v>
      </c>
      <c r="H50" s="130">
        <f>SUM(H51:H52)</f>
        <v>20000</v>
      </c>
      <c r="I50" s="130">
        <f>SUM(I51:I52)</f>
        <v>40000</v>
      </c>
      <c r="J50" s="130">
        <f>SUM(J51:J52)</f>
        <v>30000</v>
      </c>
      <c r="K50" s="130">
        <f>SUM(K51:K52)</f>
        <v>0</v>
      </c>
      <c r="L50" s="130">
        <f>SUM(L51:L52)</f>
        <v>0</v>
      </c>
    </row>
    <row r="51" spans="2:12" ht="14.25" customHeight="1">
      <c r="B51" s="123"/>
      <c r="C51" s="125" t="s">
        <v>160</v>
      </c>
      <c r="D51" s="132"/>
      <c r="E51" s="132"/>
      <c r="F51" s="133"/>
      <c r="G51" s="134">
        <v>120000</v>
      </c>
      <c r="H51" s="134">
        <v>20000</v>
      </c>
      <c r="I51" s="134">
        <v>40000</v>
      </c>
      <c r="J51" s="134">
        <v>30000</v>
      </c>
      <c r="K51" s="134">
        <v>0</v>
      </c>
      <c r="L51" s="134">
        <v>0</v>
      </c>
    </row>
    <row r="52" spans="2:12" ht="12" customHeight="1">
      <c r="B52" s="123"/>
      <c r="C52" s="125" t="s">
        <v>161</v>
      </c>
      <c r="D52" s="132"/>
      <c r="E52" s="132"/>
      <c r="F52" s="133"/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</row>
    <row r="53" spans="2:12" ht="78.75" customHeight="1">
      <c r="B53" s="123"/>
      <c r="C53" s="126" t="s">
        <v>182</v>
      </c>
      <c r="D53" s="127" t="s">
        <v>176</v>
      </c>
      <c r="E53" s="128">
        <v>2010</v>
      </c>
      <c r="F53" s="129">
        <v>2012</v>
      </c>
      <c r="G53" s="130">
        <f>SUM(G54:G55)</f>
        <v>44353.32</v>
      </c>
      <c r="H53" s="130">
        <f>SUM(H54:H55)</f>
        <v>5300</v>
      </c>
      <c r="I53" s="130">
        <f>SUM(I54:I55)</f>
        <v>0</v>
      </c>
      <c r="J53" s="130">
        <f>SUM(J54:J55)</f>
        <v>0</v>
      </c>
      <c r="K53" s="130">
        <f>SUM(K54:K55)</f>
        <v>0</v>
      </c>
      <c r="L53" s="130">
        <f>SUM(L54:L55)</f>
        <v>0</v>
      </c>
    </row>
    <row r="54" spans="2:12" ht="14.25" customHeight="1">
      <c r="B54" s="123"/>
      <c r="C54" s="125" t="s">
        <v>160</v>
      </c>
      <c r="D54" s="132"/>
      <c r="E54" s="132"/>
      <c r="F54" s="133"/>
      <c r="G54" s="134">
        <v>44353.32</v>
      </c>
      <c r="H54" s="134">
        <v>5300</v>
      </c>
      <c r="I54" s="134">
        <v>0</v>
      </c>
      <c r="J54" s="134">
        <v>0</v>
      </c>
      <c r="K54" s="134">
        <v>0</v>
      </c>
      <c r="L54" s="134">
        <v>0</v>
      </c>
    </row>
    <row r="55" spans="2:12" ht="12" customHeight="1">
      <c r="B55" s="123"/>
      <c r="C55" s="125" t="s">
        <v>161</v>
      </c>
      <c r="D55" s="132"/>
      <c r="E55" s="132"/>
      <c r="F55" s="133"/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</row>
    <row r="56" spans="2:12" ht="32.25" customHeight="1">
      <c r="B56" s="138"/>
      <c r="C56" s="124" t="s">
        <v>183</v>
      </c>
      <c r="D56" s="124"/>
      <c r="E56" s="124"/>
      <c r="F56" s="124"/>
      <c r="G56" s="130">
        <f>SUM(G57:G58)</f>
        <v>0</v>
      </c>
      <c r="H56" s="130">
        <f>SUM(H57:H58)</f>
        <v>0</v>
      </c>
      <c r="I56" s="130">
        <f>SUM(I57:I58)</f>
        <v>0</v>
      </c>
      <c r="J56" s="130">
        <f>SUM(J57:J58)</f>
        <v>0</v>
      </c>
      <c r="K56" s="130">
        <f>SUM(K57:K58)</f>
        <v>0</v>
      </c>
      <c r="L56" s="130">
        <f>SUM(L57:L58)</f>
        <v>0</v>
      </c>
    </row>
    <row r="57" spans="2:12" ht="13.5" customHeight="1">
      <c r="B57" s="138"/>
      <c r="C57" s="125" t="s">
        <v>160</v>
      </c>
      <c r="D57" s="125"/>
      <c r="E57" s="125"/>
      <c r="F57" s="125"/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</row>
    <row r="58" spans="2:12" ht="13.5" customHeight="1">
      <c r="B58" s="138"/>
      <c r="C58" s="125" t="s">
        <v>161</v>
      </c>
      <c r="D58" s="125"/>
      <c r="E58" s="125"/>
      <c r="F58" s="125"/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</row>
    <row r="59" spans="2:12" ht="29.25" customHeight="1">
      <c r="B59" s="138"/>
      <c r="C59" s="139" t="s">
        <v>184</v>
      </c>
      <c r="D59" s="139"/>
      <c r="E59" s="139"/>
      <c r="F59" s="139"/>
      <c r="G59" s="130">
        <f>SUM(G60:G61)</f>
        <v>9100000</v>
      </c>
      <c r="H59" s="130">
        <f>SUM(H60:H61)</f>
        <v>1720000</v>
      </c>
      <c r="I59" s="130">
        <f>SUM(I60:I61)</f>
        <v>2790000</v>
      </c>
      <c r="J59" s="130">
        <f>SUM(J60:J61)</f>
        <v>1500000</v>
      </c>
      <c r="K59" s="130">
        <f>SUM(K60:K61)</f>
        <v>1500000</v>
      </c>
      <c r="L59" s="130">
        <f>SUM(L60:L61)</f>
        <v>0</v>
      </c>
    </row>
    <row r="60" spans="2:12" ht="12.75">
      <c r="B60" s="138"/>
      <c r="C60" s="125" t="s">
        <v>160</v>
      </c>
      <c r="D60" s="125"/>
      <c r="E60" s="125"/>
      <c r="F60" s="125"/>
      <c r="G60" s="130">
        <f>SUM(G63,G66,G69,G72)</f>
        <v>0</v>
      </c>
      <c r="H60" s="130">
        <f>SUM(H63,H66,H69,H72)</f>
        <v>0</v>
      </c>
      <c r="I60" s="130">
        <f>SUM(I63,I66,I69,I72)</f>
        <v>0</v>
      </c>
      <c r="J60" s="130">
        <f>SUM(J63,J66,J69,J72)</f>
        <v>0</v>
      </c>
      <c r="K60" s="130">
        <f>SUM(K63,K66,K69,K72)</f>
        <v>0</v>
      </c>
      <c r="L60" s="130">
        <f>SUM(L63,L66,L69,L72)</f>
        <v>0</v>
      </c>
    </row>
    <row r="61" spans="2:12" ht="12.75">
      <c r="B61" s="138"/>
      <c r="C61" s="125" t="s">
        <v>161</v>
      </c>
      <c r="D61" s="125"/>
      <c r="E61" s="125"/>
      <c r="F61" s="125"/>
      <c r="G61" s="130">
        <f>SUM(G64,G67,G70,G73)</f>
        <v>9100000</v>
      </c>
      <c r="H61" s="130">
        <f>SUM(H64,H67,H70,H73)</f>
        <v>1720000</v>
      </c>
      <c r="I61" s="130">
        <f>SUM(I64,I67,I70,I73)</f>
        <v>2790000</v>
      </c>
      <c r="J61" s="130">
        <f>SUM(J64,J67,J70,J73)</f>
        <v>1500000</v>
      </c>
      <c r="K61" s="130">
        <f>SUM(K64,K67,K70,K73)</f>
        <v>1500000</v>
      </c>
      <c r="L61" s="130">
        <f>SUM(L64,L67,L70,L73)</f>
        <v>0</v>
      </c>
    </row>
    <row r="62" spans="2:12" s="122" customFormat="1" ht="12.75">
      <c r="B62" s="140"/>
      <c r="C62" s="126" t="s">
        <v>185</v>
      </c>
      <c r="D62" s="127" t="s">
        <v>167</v>
      </c>
      <c r="E62" s="128">
        <v>2011</v>
      </c>
      <c r="F62" s="129">
        <v>2015</v>
      </c>
      <c r="G62" s="130">
        <f>SUM(G63:G64)</f>
        <v>7000000</v>
      </c>
      <c r="H62" s="130">
        <f>SUM(H63:H64)</f>
        <v>1000000</v>
      </c>
      <c r="I62" s="130">
        <f>SUM(I63:I64)</f>
        <v>1440000</v>
      </c>
      <c r="J62" s="130">
        <f>SUM(J63:J64)</f>
        <v>1500000</v>
      </c>
      <c r="K62" s="130">
        <f>SUM(K63:K64)</f>
        <v>1500000</v>
      </c>
      <c r="L62" s="130">
        <f>SUM(L63:L64)</f>
        <v>0</v>
      </c>
    </row>
    <row r="63" spans="2:12" s="122" customFormat="1" ht="12.75">
      <c r="B63" s="140"/>
      <c r="C63" s="125" t="s">
        <v>160</v>
      </c>
      <c r="D63" s="141"/>
      <c r="E63" s="142"/>
      <c r="F63" s="133"/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0</v>
      </c>
    </row>
    <row r="64" spans="2:12" ht="12.75">
      <c r="B64" s="138"/>
      <c r="C64" s="125" t="s">
        <v>161</v>
      </c>
      <c r="D64" s="141"/>
      <c r="E64" s="142"/>
      <c r="F64" s="133"/>
      <c r="G64" s="134">
        <v>7000000</v>
      </c>
      <c r="H64" s="134">
        <v>1000000</v>
      </c>
      <c r="I64" s="134">
        <v>1440000</v>
      </c>
      <c r="J64" s="134">
        <v>1500000</v>
      </c>
      <c r="K64" s="134">
        <v>1500000</v>
      </c>
      <c r="L64" s="134">
        <v>0</v>
      </c>
    </row>
    <row r="65" spans="2:12" ht="74.25" customHeight="1">
      <c r="B65" s="123"/>
      <c r="C65" s="136" t="s">
        <v>186</v>
      </c>
      <c r="D65" s="127" t="s">
        <v>167</v>
      </c>
      <c r="E65" s="128">
        <v>2011</v>
      </c>
      <c r="F65" s="129">
        <v>2013</v>
      </c>
      <c r="G65" s="130">
        <f>SUM(G66:G67)</f>
        <v>1450000</v>
      </c>
      <c r="H65" s="130">
        <f>SUM(H66:H67)</f>
        <v>670000</v>
      </c>
      <c r="I65" s="130">
        <f>SUM(I66:I67)</f>
        <v>750000</v>
      </c>
      <c r="J65" s="130">
        <f>SUM(J66:J67)</f>
        <v>0</v>
      </c>
      <c r="K65" s="130">
        <f>SUM(K66:K67)</f>
        <v>0</v>
      </c>
      <c r="L65" s="130">
        <f>SUM(L66:L67)</f>
        <v>0</v>
      </c>
    </row>
    <row r="66" spans="2:12" ht="12.75">
      <c r="B66" s="123"/>
      <c r="C66" s="125" t="s">
        <v>160</v>
      </c>
      <c r="D66" s="131"/>
      <c r="E66" s="132"/>
      <c r="F66" s="133"/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</row>
    <row r="67" spans="2:12" ht="12.75">
      <c r="B67" s="123"/>
      <c r="C67" s="125" t="s">
        <v>161</v>
      </c>
      <c r="D67" s="131"/>
      <c r="E67" s="132"/>
      <c r="F67" s="133"/>
      <c r="G67" s="134">
        <v>1450000</v>
      </c>
      <c r="H67" s="134">
        <v>670000</v>
      </c>
      <c r="I67" s="134">
        <v>750000</v>
      </c>
      <c r="J67" s="134">
        <v>0</v>
      </c>
      <c r="K67" s="134">
        <v>0</v>
      </c>
      <c r="L67" s="134">
        <v>0</v>
      </c>
    </row>
    <row r="68" spans="2:12" ht="12.75">
      <c r="B68" s="138"/>
      <c r="C68" s="136" t="s">
        <v>187</v>
      </c>
      <c r="D68" s="127" t="s">
        <v>167</v>
      </c>
      <c r="E68" s="128">
        <v>2012</v>
      </c>
      <c r="F68" s="129">
        <v>2013</v>
      </c>
      <c r="G68" s="143">
        <f>SUM(G69:G70)</f>
        <v>650000</v>
      </c>
      <c r="H68" s="143">
        <f>SUM(H69:H70)</f>
        <v>50000</v>
      </c>
      <c r="I68" s="143">
        <f>SUM(I69:I70)</f>
        <v>600000</v>
      </c>
      <c r="J68" s="143">
        <f>SUM(J69:J70)</f>
        <v>0</v>
      </c>
      <c r="K68" s="143">
        <f>SUM(K69:K70)</f>
        <v>0</v>
      </c>
      <c r="L68" s="143">
        <f>SUM(L69:L70)</f>
        <v>0</v>
      </c>
    </row>
    <row r="69" spans="2:12" ht="12.75">
      <c r="B69" s="138"/>
      <c r="C69" s="125" t="s">
        <v>160</v>
      </c>
      <c r="D69" s="125"/>
      <c r="E69" s="125"/>
      <c r="F69" s="125"/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0</v>
      </c>
    </row>
    <row r="70" spans="2:12" ht="12.75">
      <c r="B70" s="138"/>
      <c r="C70" s="125" t="s">
        <v>161</v>
      </c>
      <c r="D70" s="125"/>
      <c r="E70" s="125"/>
      <c r="F70" s="125"/>
      <c r="G70" s="134">
        <v>650000</v>
      </c>
      <c r="H70" s="134">
        <v>50000</v>
      </c>
      <c r="I70" s="134">
        <v>600000</v>
      </c>
      <c r="J70" s="134">
        <v>0</v>
      </c>
      <c r="K70" s="134">
        <v>0</v>
      </c>
      <c r="L70" s="134">
        <v>0</v>
      </c>
    </row>
    <row r="71" spans="2:12" ht="2.25" customHeight="1">
      <c r="B71" s="138"/>
      <c r="C71" s="136"/>
      <c r="D71" s="127"/>
      <c r="E71" s="128">
        <v>0</v>
      </c>
      <c r="F71" s="129">
        <v>0</v>
      </c>
      <c r="G71" s="143">
        <f>SUM(G72:G73)</f>
        <v>0</v>
      </c>
      <c r="H71" s="143">
        <f>SUM(H72:H73)</f>
        <v>0</v>
      </c>
      <c r="I71" s="143">
        <f>SUM(I72:I73)</f>
        <v>0</v>
      </c>
      <c r="J71" s="143">
        <f>SUM(J72:J73)</f>
        <v>0</v>
      </c>
      <c r="K71" s="143">
        <f>SUM(K72:K73)</f>
        <v>0</v>
      </c>
      <c r="L71" s="143">
        <f>SUM(L72:L73)</f>
        <v>0</v>
      </c>
    </row>
    <row r="72" spans="2:12" ht="2.25" customHeight="1">
      <c r="B72" s="138"/>
      <c r="C72" s="125" t="s">
        <v>160</v>
      </c>
      <c r="D72" s="125"/>
      <c r="E72" s="125"/>
      <c r="F72" s="125"/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</row>
    <row r="73" spans="2:12" ht="2.25" customHeight="1">
      <c r="B73" s="138"/>
      <c r="C73" s="125" t="s">
        <v>161</v>
      </c>
      <c r="D73" s="125"/>
      <c r="E73" s="125"/>
      <c r="F73" s="125"/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</row>
    <row r="74" spans="2:12" ht="43.5" customHeight="1">
      <c r="B74" s="138"/>
      <c r="C74" s="139" t="s">
        <v>188</v>
      </c>
      <c r="D74" s="139"/>
      <c r="E74" s="139"/>
      <c r="F74" s="139"/>
      <c r="G74" s="130">
        <f>SUM(G75:G76)</f>
        <v>0</v>
      </c>
      <c r="H74" s="130">
        <f>SUM(H75:H76)</f>
        <v>0</v>
      </c>
      <c r="I74" s="130">
        <f>SUM(I75:I76)</f>
        <v>0</v>
      </c>
      <c r="J74" s="130">
        <f>SUM(J75:J76)</f>
        <v>0</v>
      </c>
      <c r="K74" s="130">
        <f>SUM(K75:K76)</f>
        <v>0</v>
      </c>
      <c r="L74" s="130">
        <f>SUM(L75:L76)</f>
        <v>0</v>
      </c>
    </row>
    <row r="75" spans="2:12" ht="12.75">
      <c r="B75" s="138"/>
      <c r="C75" s="125" t="s">
        <v>160</v>
      </c>
      <c r="D75" s="125"/>
      <c r="E75" s="125"/>
      <c r="F75" s="125"/>
      <c r="G75" s="135">
        <v>0</v>
      </c>
      <c r="H75" s="135">
        <v>0</v>
      </c>
      <c r="I75" s="135">
        <v>0</v>
      </c>
      <c r="J75" s="135">
        <f>SUM(J80)</f>
        <v>0</v>
      </c>
      <c r="K75" s="135">
        <f>SUM(K80)</f>
        <v>0</v>
      </c>
      <c r="L75" s="135">
        <f>SUM(L80)</f>
        <v>0</v>
      </c>
    </row>
    <row r="76" spans="2:12" ht="12.75">
      <c r="B76" s="138"/>
      <c r="C76" s="125" t="s">
        <v>161</v>
      </c>
      <c r="D76" s="125"/>
      <c r="E76" s="125"/>
      <c r="F76" s="125"/>
      <c r="G76" s="135">
        <f>SUM(G81)</f>
        <v>0</v>
      </c>
      <c r="H76" s="135">
        <f>SUM(H81)</f>
        <v>0</v>
      </c>
      <c r="I76" s="135">
        <f>SUM(I81)</f>
        <v>0</v>
      </c>
      <c r="J76" s="135">
        <f>SUM(J81)</f>
        <v>0</v>
      </c>
      <c r="K76" s="135">
        <f>SUM(K81)</f>
        <v>0</v>
      </c>
      <c r="L76" s="135">
        <f>SUM(L81)</f>
        <v>0</v>
      </c>
    </row>
    <row r="77" spans="2:12" ht="25.5" customHeight="1">
      <c r="B77" s="138"/>
      <c r="C77" s="139" t="s">
        <v>189</v>
      </c>
      <c r="D77" s="139"/>
      <c r="E77" s="139"/>
      <c r="F77" s="139"/>
      <c r="G77" s="130">
        <f>SUM(G78)</f>
        <v>700000</v>
      </c>
      <c r="H77" s="130">
        <f>SUM(H78)</f>
        <v>192000</v>
      </c>
      <c r="I77" s="130">
        <f>SUM(I78)</f>
        <v>0</v>
      </c>
      <c r="J77" s="130">
        <f>SUM(J78)</f>
        <v>0</v>
      </c>
      <c r="K77" s="130">
        <f>SUM(K78)</f>
        <v>0</v>
      </c>
      <c r="L77" s="130">
        <f>SUM(L78)</f>
        <v>0</v>
      </c>
    </row>
    <row r="78" spans="2:12" ht="12.75">
      <c r="B78" s="138"/>
      <c r="C78" s="125" t="s">
        <v>160</v>
      </c>
      <c r="D78" s="125"/>
      <c r="E78" s="125"/>
      <c r="F78" s="125"/>
      <c r="G78" s="130">
        <f>SUM(G79)</f>
        <v>700000</v>
      </c>
      <c r="H78" s="130">
        <f>SUM(H79)</f>
        <v>192000</v>
      </c>
      <c r="I78" s="130">
        <f>SUM(I79)</f>
        <v>0</v>
      </c>
      <c r="J78" s="130">
        <f>SUM(J79)</f>
        <v>0</v>
      </c>
      <c r="K78" s="130">
        <f>SUM(K79)</f>
        <v>0</v>
      </c>
      <c r="L78" s="130">
        <f>SUM(L79)</f>
        <v>0</v>
      </c>
    </row>
    <row r="79" spans="2:12" s="122" customFormat="1" ht="12.75">
      <c r="B79" s="140"/>
      <c r="C79" s="126" t="s">
        <v>190</v>
      </c>
      <c r="D79" s="127" t="s">
        <v>176</v>
      </c>
      <c r="E79" s="128">
        <v>2008</v>
      </c>
      <c r="F79" s="129">
        <v>2012</v>
      </c>
      <c r="G79" s="130">
        <f>SUM(G80:G80)</f>
        <v>700000</v>
      </c>
      <c r="H79" s="130">
        <f>SUM(H80:H80)</f>
        <v>192000</v>
      </c>
      <c r="I79" s="130">
        <f>SUM(I80:I80)</f>
        <v>0</v>
      </c>
      <c r="J79" s="130">
        <f>SUM(J80:J80)</f>
        <v>0</v>
      </c>
      <c r="K79" s="130">
        <f>SUM(K80:K80)</f>
        <v>0</v>
      </c>
      <c r="L79" s="130">
        <f>SUM(L80:L80)</f>
        <v>0</v>
      </c>
    </row>
    <row r="80" spans="2:12" s="122" customFormat="1" ht="12.75">
      <c r="B80" s="140"/>
      <c r="C80" s="125" t="s">
        <v>160</v>
      </c>
      <c r="D80" s="142"/>
      <c r="E80" s="142"/>
      <c r="F80" s="133"/>
      <c r="G80" s="134">
        <v>700000</v>
      </c>
      <c r="H80" s="134">
        <v>192000</v>
      </c>
      <c r="I80" s="134">
        <v>0</v>
      </c>
      <c r="J80" s="134">
        <v>0</v>
      </c>
      <c r="K80" s="134">
        <v>0</v>
      </c>
      <c r="L80" s="134">
        <v>0</v>
      </c>
    </row>
    <row r="81" ht="12.75">
      <c r="C81" t="s">
        <v>52</v>
      </c>
    </row>
    <row r="82" spans="8:11" ht="12.75">
      <c r="H82" s="46"/>
      <c r="I82" s="46"/>
      <c r="J82" s="46"/>
      <c r="K82" s="46"/>
    </row>
    <row r="83" spans="8:11" ht="12.75">
      <c r="H83" s="46"/>
      <c r="I83" s="46"/>
      <c r="J83" s="46"/>
      <c r="K83" s="46"/>
    </row>
  </sheetData>
  <sheetProtection selectLockedCells="1" selectUnlockedCells="1"/>
  <mergeCells count="37">
    <mergeCell ref="J1:L1"/>
    <mergeCell ref="J2:L2"/>
    <mergeCell ref="C3:L3"/>
    <mergeCell ref="B5:B6"/>
    <mergeCell ref="C5:C6"/>
    <mergeCell ref="D5:D6"/>
    <mergeCell ref="E5:F5"/>
    <mergeCell ref="G5:G6"/>
    <mergeCell ref="H5:K5"/>
    <mergeCell ref="L5:L6"/>
    <mergeCell ref="C8:F8"/>
    <mergeCell ref="C9:F9"/>
    <mergeCell ref="C10:F10"/>
    <mergeCell ref="M10:P10"/>
    <mergeCell ref="C11:F11"/>
    <mergeCell ref="C12:F12"/>
    <mergeCell ref="C13:F13"/>
    <mergeCell ref="C14:F14"/>
    <mergeCell ref="C15:F15"/>
    <mergeCell ref="C16:F16"/>
    <mergeCell ref="C56:F56"/>
    <mergeCell ref="C57:F57"/>
    <mergeCell ref="C58:F58"/>
    <mergeCell ref="C59:F59"/>
    <mergeCell ref="C60:F60"/>
    <mergeCell ref="C61:F61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H82:J82"/>
    <mergeCell ref="H83:J83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C37" sqref="C37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4.00390625" style="0" customWidth="1"/>
    <col min="5" max="5" width="13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4" t="s">
        <v>191</v>
      </c>
      <c r="B1" s="144"/>
      <c r="C1" s="144"/>
      <c r="D1" s="144"/>
      <c r="E1" s="144"/>
      <c r="F1" s="144"/>
      <c r="G1" s="144"/>
    </row>
    <row r="2" spans="1:7" ht="12" customHeight="1">
      <c r="A2" s="144" t="s">
        <v>192</v>
      </c>
      <c r="B2" s="144"/>
      <c r="C2" s="144"/>
      <c r="D2" s="144"/>
      <c r="E2" s="144"/>
      <c r="F2" s="144"/>
      <c r="G2" s="144"/>
    </row>
    <row r="3" spans="1:7" ht="12" customHeight="1">
      <c r="A3" s="144" t="s">
        <v>193</v>
      </c>
      <c r="B3" s="144"/>
      <c r="C3" s="144"/>
      <c r="D3" s="144"/>
      <c r="E3" s="144"/>
      <c r="F3" s="144"/>
      <c r="G3" s="144"/>
    </row>
    <row r="5" spans="2:7" ht="24.75" customHeight="1">
      <c r="B5" s="145" t="s">
        <v>194</v>
      </c>
      <c r="C5" s="145"/>
      <c r="D5" s="145"/>
      <c r="E5" s="145"/>
      <c r="F5" s="145"/>
      <c r="G5" s="145"/>
    </row>
    <row r="7" spans="2:7" ht="61.5" customHeight="1">
      <c r="B7" s="146" t="s">
        <v>195</v>
      </c>
      <c r="C7" s="146"/>
      <c r="D7" s="146"/>
      <c r="E7" s="146"/>
      <c r="F7" s="146"/>
      <c r="G7" s="146"/>
    </row>
    <row r="9" spans="1:6" ht="12.75" customHeight="1">
      <c r="A9" s="147" t="s">
        <v>196</v>
      </c>
      <c r="B9" s="148" t="str">
        <f>IF(C37&lt;=0,$C$41,$C$42)</f>
        <v>Zwiększyć</v>
      </c>
      <c r="C9" s="149" t="s">
        <v>197</v>
      </c>
      <c r="D9" s="149"/>
      <c r="E9" s="149"/>
      <c r="F9" s="98">
        <f>'Ogółem Zmiany w paragrafach '!D79</f>
        <v>31000</v>
      </c>
    </row>
    <row r="10" ht="11.25" customHeight="1"/>
    <row r="11" spans="1:6" ht="12.75" customHeight="1">
      <c r="A11" s="147" t="s">
        <v>198</v>
      </c>
      <c r="B11" s="148" t="str">
        <f>IF(C38&lt;=0,$C$41,$C$42)</f>
        <v>Zwiększyć</v>
      </c>
      <c r="C11" s="149" t="s">
        <v>199</v>
      </c>
      <c r="D11" s="149"/>
      <c r="E11" s="149"/>
      <c r="F11" s="98">
        <f>'Ogółem Zmiany w paragrafach '!G79</f>
        <v>31000</v>
      </c>
    </row>
    <row r="12" ht="12.75" customHeight="1"/>
    <row r="13" spans="1:6" ht="12.75" customHeight="1">
      <c r="A13" s="147" t="s">
        <v>200</v>
      </c>
      <c r="B13" s="150" t="s">
        <v>201</v>
      </c>
      <c r="C13" s="150"/>
      <c r="D13" s="150"/>
      <c r="E13" s="150"/>
      <c r="F13" s="98">
        <f>zał2!F5</f>
        <v>80166205</v>
      </c>
    </row>
    <row r="14" spans="2:6" ht="12.75" customHeight="1">
      <c r="B14" s="150" t="s">
        <v>202</v>
      </c>
      <c r="C14" s="150"/>
      <c r="D14" s="150"/>
      <c r="E14" s="150"/>
      <c r="F14" s="98">
        <f>zał2!F6</f>
        <v>57554321</v>
      </c>
    </row>
    <row r="15" spans="2:6" ht="12.75" customHeight="1">
      <c r="B15" s="151" t="s">
        <v>203</v>
      </c>
      <c r="C15" s="151"/>
      <c r="D15" s="151"/>
      <c r="E15" s="151"/>
      <c r="F15" s="98">
        <f>zał2!F7</f>
        <v>22611884</v>
      </c>
    </row>
    <row r="16" ht="12.75">
      <c r="F16" s="98"/>
    </row>
    <row r="17" spans="1:6" ht="12.75" customHeight="1">
      <c r="A17" s="147" t="s">
        <v>204</v>
      </c>
      <c r="B17" s="150" t="s">
        <v>205</v>
      </c>
      <c r="C17" s="150"/>
      <c r="D17" s="150"/>
      <c r="E17" s="150"/>
      <c r="F17" s="98">
        <f>zał2!F9</f>
        <v>83209032</v>
      </c>
    </row>
    <row r="18" spans="2:6" ht="15" customHeight="1">
      <c r="B18" s="152" t="s">
        <v>206</v>
      </c>
      <c r="C18" s="152"/>
      <c r="D18" s="152"/>
      <c r="E18" s="152"/>
      <c r="F18" s="98">
        <f>zał2!F10</f>
        <v>58843461</v>
      </c>
    </row>
    <row r="19" spans="2:6" ht="12.75" customHeight="1">
      <c r="B19" s="153" t="s">
        <v>207</v>
      </c>
      <c r="C19" s="153"/>
      <c r="D19" s="153"/>
      <c r="E19" s="153"/>
      <c r="F19" s="98">
        <f>zał2!F11</f>
        <v>24365571</v>
      </c>
    </row>
    <row r="21" spans="1:5" ht="12.75" customHeight="1">
      <c r="A21" s="154" t="s">
        <v>208</v>
      </c>
      <c r="B21" s="155" t="s">
        <v>209</v>
      </c>
      <c r="C21" s="155"/>
      <c r="D21" s="155"/>
      <c r="E21" s="155"/>
    </row>
    <row r="23" spans="1:7" ht="24.75" customHeight="1">
      <c r="A23" s="154" t="s">
        <v>210</v>
      </c>
      <c r="B23" s="156" t="s">
        <v>211</v>
      </c>
      <c r="C23" s="156"/>
      <c r="D23" s="156"/>
      <c r="E23" s="156"/>
      <c r="F23" s="156"/>
      <c r="G23" s="156"/>
    </row>
    <row r="26" spans="4:7" ht="12.75" customHeight="1">
      <c r="D26" s="157" t="s">
        <v>212</v>
      </c>
      <c r="E26" s="157"/>
      <c r="F26" s="157"/>
      <c r="G26" s="157"/>
    </row>
    <row r="28" spans="4:7" ht="12.75" customHeight="1">
      <c r="D28" s="157" t="s">
        <v>213</v>
      </c>
      <c r="E28" s="157"/>
      <c r="F28" s="157"/>
      <c r="G28" s="157"/>
    </row>
    <row r="29" ht="12.75">
      <c r="E29" s="158"/>
    </row>
    <row r="37" ht="12.75">
      <c r="C37" s="159">
        <f>'Ogółem Zmiany w paragrafach '!D75</f>
        <v>31000</v>
      </c>
    </row>
    <row r="38" ht="12.75">
      <c r="C38" s="159">
        <f>'Ogółem Zmiany w paragrafach '!G77</f>
        <v>31000</v>
      </c>
    </row>
    <row r="39" ht="12.75">
      <c r="C39" s="159"/>
    </row>
    <row r="40" ht="12.75">
      <c r="C40" s="159"/>
    </row>
    <row r="41" ht="12.75">
      <c r="C41" s="159" t="s">
        <v>214</v>
      </c>
    </row>
    <row r="42" ht="12.75">
      <c r="C42" s="159" t="s">
        <v>215</v>
      </c>
    </row>
  </sheetData>
  <sheetProtection selectLockedCells="1" selectUnlockedCells="1"/>
  <mergeCells count="17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1">
      <selection activeCell="E10" sqref="E10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2.75">
      <c r="A1" s="160" t="s">
        <v>216</v>
      </c>
      <c r="B1" s="160"/>
      <c r="C1" s="160"/>
      <c r="D1" s="160"/>
      <c r="E1" s="160"/>
      <c r="F1" s="160"/>
      <c r="G1" s="160"/>
      <c r="H1" s="160"/>
    </row>
    <row r="2" spans="1:8" ht="12.75">
      <c r="A2" s="138"/>
      <c r="B2" s="138"/>
      <c r="C2" s="161" t="s">
        <v>217</v>
      </c>
      <c r="D2" s="161"/>
      <c r="E2" s="161"/>
      <c r="F2" s="161" t="s">
        <v>218</v>
      </c>
      <c r="G2" s="161"/>
      <c r="H2" s="161"/>
    </row>
    <row r="3" spans="1:15" ht="65.25" customHeight="1">
      <c r="A3" s="162" t="s">
        <v>219</v>
      </c>
      <c r="B3" s="162" t="s">
        <v>220</v>
      </c>
      <c r="C3" s="163" t="s">
        <v>221</v>
      </c>
      <c r="D3" s="162" t="s">
        <v>222</v>
      </c>
      <c r="E3" s="162" t="s">
        <v>223</v>
      </c>
      <c r="F3" s="163" t="s">
        <v>221</v>
      </c>
      <c r="G3" s="162" t="s">
        <v>222</v>
      </c>
      <c r="H3" s="162" t="s">
        <v>223</v>
      </c>
      <c r="I3" s="164"/>
      <c r="J3" s="164"/>
      <c r="K3" s="165"/>
      <c r="L3" s="166" t="s">
        <v>224</v>
      </c>
      <c r="M3" s="166" t="s">
        <v>224</v>
      </c>
      <c r="N3" s="166" t="s">
        <v>225</v>
      </c>
      <c r="O3" s="166"/>
    </row>
    <row r="4" spans="1:15" ht="12.75">
      <c r="A4" s="167"/>
      <c r="B4" s="168"/>
      <c r="C4" s="169"/>
      <c r="D4" s="170"/>
      <c r="E4" s="170"/>
      <c r="F4" s="168"/>
      <c r="G4" s="170"/>
      <c r="H4" s="170"/>
      <c r="L4" s="171">
        <f>IF($F4=4010,G4,0)+IF($F4=4110,G4,0)+IF($F4=4120,G4,0)+IF($F4=4017,G4,0)+IF($F4=4117,G4,0)+IF($F4=4127,G4,0)+IF($F4=4019,G4,0)+IF($F4=4119,G4,0)+IF($F4=4129,G4,0)</f>
        <v>0</v>
      </c>
      <c r="M4" s="171">
        <f>IF($F4=4010,H4,0)+IF($F4=4110,H4,0)+IF($F4=4120,H4,0)+IF($F4=4017,H4,0)+IF($F4=4117,H4,0)+IF($F4=4127,H4,0)+IF($F4=4019,H4,0)+IF($F4=4119,H4,0)+IF($F4=4129,H4,0)</f>
        <v>0</v>
      </c>
      <c r="N4" s="171">
        <f>IF($B4=75022,G4,0)+IF($B4=75023,G4,0)</f>
        <v>0</v>
      </c>
      <c r="O4" s="171">
        <f>IF($B4=75022,H4,0)+IF($B4=75023,H4,0)</f>
        <v>0</v>
      </c>
    </row>
    <row r="5" spans="1:15" ht="12.75">
      <c r="A5" s="167" t="s">
        <v>226</v>
      </c>
      <c r="B5" s="168"/>
      <c r="C5" s="169"/>
      <c r="D5" s="170"/>
      <c r="E5" s="170"/>
      <c r="F5" s="168"/>
      <c r="G5" s="170"/>
      <c r="H5" s="170"/>
      <c r="L5" s="171">
        <f>IF($F5=4010,G5,0)+IF($F5=4110,G5,0)+IF($F5=4120,G5,0)+IF($F5=4017,G5,0)+IF($F5=4117,G5,0)+IF($F5=4127,G5,0)+IF($F5=4019,G5,0)+IF($F5=4119,G5,0)+IF($F5=4129,G5,0)</f>
        <v>0</v>
      </c>
      <c r="M5" s="171">
        <f>IF($F5=4010,H5,0)+IF($F5=4110,H5,0)+IF($F5=4120,H5,0)+IF($F5=4017,H5,0)+IF($F5=4117,H5,0)+IF($F5=4127,H5,0)+IF($F5=4019,H5,0)+IF($F5=4119,H5,0)+IF($F5=4129,H5,0)</f>
        <v>0</v>
      </c>
      <c r="N5" s="171">
        <f>IF($B5=75022,G5,0)+IF($B5=75023,G5,0)</f>
        <v>0</v>
      </c>
      <c r="O5" s="171">
        <f>IF($B5=75022,H5,0)+IF($B5=75023,H5,0)</f>
        <v>0</v>
      </c>
    </row>
    <row r="6" spans="1:15" ht="12.75">
      <c r="A6" s="167"/>
      <c r="B6" s="172" t="s">
        <v>227</v>
      </c>
      <c r="C6" s="172" t="s">
        <v>228</v>
      </c>
      <c r="D6" s="170"/>
      <c r="E6" s="170">
        <v>6000</v>
      </c>
      <c r="F6" s="168"/>
      <c r="G6" s="170"/>
      <c r="H6" s="170"/>
      <c r="L6" s="171">
        <f>IF($F6=4010,G6,0)+IF($F6=4110,G6,0)+IF($F6=4120,G6,0)+IF($F6=4017,G6,0)+IF($F6=4117,G6,0)+IF($F6=4127,G6,0)+IF($F6=4019,G6,0)+IF($F6=4119,G6,0)+IF($F6=4129,G6,0)</f>
        <v>0</v>
      </c>
      <c r="M6" s="171">
        <f>IF($F6=4010,H6,0)+IF($F6=4110,H6,0)+IF($F6=4120,H6,0)+IF($F6=4017,H6,0)+IF($F6=4117,H6,0)+IF($F6=4127,H6,0)+IF($F6=4019,H6,0)+IF($F6=4119,H6,0)+IF($F6=4129,H6,0)</f>
        <v>0</v>
      </c>
      <c r="N6" s="171">
        <f>IF($B6=75022,G6,0)+IF($B6=75023,G6,0)</f>
        <v>0</v>
      </c>
      <c r="O6" s="171">
        <f>IF($B6=75022,H6,0)+IF($B6=75023,H6,0)</f>
        <v>0</v>
      </c>
    </row>
    <row r="7" spans="1:15" ht="12.75">
      <c r="A7" s="167"/>
      <c r="B7" s="173" t="s">
        <v>229</v>
      </c>
      <c r="C7" s="169"/>
      <c r="D7" s="170"/>
      <c r="E7" s="170"/>
      <c r="F7" s="168">
        <v>3000</v>
      </c>
      <c r="G7" s="170"/>
      <c r="H7" s="170">
        <v>6000</v>
      </c>
      <c r="L7" s="171">
        <f>IF($F7=4010,G7,0)+IF($F7=4110,G7,0)+IF($F7=4120,G7,0)+IF($F7=4017,G7,0)+IF($F7=4117,G7,0)+IF($F7=4127,G7,0)+IF($F7=4019,G7,0)+IF($F7=4119,G7,0)+IF($F7=4129,G7,0)</f>
        <v>0</v>
      </c>
      <c r="M7" s="171">
        <f>IF($F7=4010,H7,0)+IF($F7=4110,H7,0)+IF($F7=4120,H7,0)+IF($F7=4017,H7,0)+IF($F7=4117,H7,0)+IF($F7=4127,H7,0)+IF($F7=4019,H7,0)+IF($F7=4119,H7,0)+IF($F7=4129,H7,0)</f>
        <v>0</v>
      </c>
      <c r="N7" s="171">
        <f>IF($B7=75022,G7,0)+IF($B7=75023,G7,0)</f>
        <v>0</v>
      </c>
      <c r="O7" s="171">
        <f>IF($B7=75022,H7,0)+IF($B7=75023,H7,0)</f>
        <v>0</v>
      </c>
    </row>
    <row r="8" spans="1:15" ht="12.75">
      <c r="A8" s="167"/>
      <c r="B8" s="168">
        <v>63003</v>
      </c>
      <c r="C8" s="169"/>
      <c r="D8" s="170"/>
      <c r="E8" s="170"/>
      <c r="F8" s="168">
        <v>4017</v>
      </c>
      <c r="G8" s="170">
        <v>3600</v>
      </c>
      <c r="H8" s="170"/>
      <c r="L8" s="171">
        <f>IF($F8=4010,G8,0)+IF($F8=4110,G8,0)+IF($F8=4120,G8,0)+IF($F8=4017,G8,0)+IF($F8=4117,G8,0)+IF($F8=4127,G8,0)+IF($F8=4019,G8,0)+IF($F8=4119,G8,0)+IF($F8=4129,G8,0)</f>
        <v>3600</v>
      </c>
      <c r="M8" s="171">
        <f>IF($F8=4010,H8,0)+IF($F8=4110,H8,0)+IF($F8=4120,H8,0)+IF($F8=4017,H8,0)+IF($F8=4117,H8,0)+IF($F8=4127,H8,0)+IF($F8=4019,H8,0)+IF($F8=4119,H8,0)+IF($F8=4129,H8,0)</f>
        <v>0</v>
      </c>
      <c r="N8" s="171">
        <f>IF($B8=75022,G8,0)+IF($B8=75023,G8,0)</f>
        <v>0</v>
      </c>
      <c r="O8" s="171">
        <f>IF($B8=75022,H8,0)+IF($B8=75023,H8,0)</f>
        <v>0</v>
      </c>
    </row>
    <row r="9" spans="1:15" ht="12.75">
      <c r="A9" s="167"/>
      <c r="B9" s="168">
        <v>63003</v>
      </c>
      <c r="C9" s="169"/>
      <c r="D9" s="170"/>
      <c r="E9" s="170"/>
      <c r="F9" s="168">
        <v>4177</v>
      </c>
      <c r="G9" s="170"/>
      <c r="H9" s="170">
        <v>3600</v>
      </c>
      <c r="L9" s="171">
        <f>IF($F9=4010,G9,0)+IF($F9=4110,G9,0)+IF($F9=4120,G9,0)+IF($F9=4017,G9,0)+IF($F9=4117,G9,0)+IF($F9=4127,G9,0)+IF($F9=4019,G9,0)+IF($F9=4119,G9,0)+IF($F9=4129,G9,0)</f>
        <v>0</v>
      </c>
      <c r="M9" s="171">
        <f>IF($F9=4010,H9,0)+IF($F9=4110,H9,0)+IF($F9=4120,H9,0)+IF($F9=4017,H9,0)+IF($F9=4117,H9,0)+IF($F9=4127,H9,0)+IF($F9=4019,H9,0)+IF($F9=4119,H9,0)+IF($F9=4129,H9,0)</f>
        <v>0</v>
      </c>
      <c r="N9" s="171">
        <f>IF($B9=75022,G9,0)+IF($B9=75023,G9,0)</f>
        <v>0</v>
      </c>
      <c r="O9" s="171">
        <f>IF($B9=75022,H9,0)+IF($B9=75023,H9,0)</f>
        <v>0</v>
      </c>
    </row>
    <row r="10" spans="1:15" ht="12.75">
      <c r="A10" s="167"/>
      <c r="B10" s="168">
        <v>70005</v>
      </c>
      <c r="C10" s="169"/>
      <c r="D10" s="170"/>
      <c r="E10" s="170"/>
      <c r="F10" s="168">
        <v>4590</v>
      </c>
      <c r="G10" s="170">
        <v>1000</v>
      </c>
      <c r="H10" s="170"/>
      <c r="L10" s="171">
        <f>IF($F10=4010,G10,0)+IF($F10=4110,G10,0)+IF($F10=4120,G10,0)+IF($F10=4017,G10,0)+IF($F10=4117,G10,0)+IF($F10=4127,G10,0)+IF($F10=4019,G10,0)+IF($F10=4119,G10,0)+IF($F10=4129,G10,0)</f>
        <v>0</v>
      </c>
      <c r="M10" s="171">
        <f>IF($F10=4010,H10,0)+IF($F10=4110,H10,0)+IF($F10=4120,H10,0)+IF($F10=4017,H10,0)+IF($F10=4117,H10,0)+IF($F10=4127,H10,0)+IF($F10=4019,H10,0)+IF($F10=4119,H10,0)+IF($F10=4129,H10,0)</f>
        <v>0</v>
      </c>
      <c r="N10" s="171">
        <f>IF($B10=75022,G10,0)+IF($B10=75023,G10,0)</f>
        <v>0</v>
      </c>
      <c r="O10" s="171">
        <f>IF($B10=75022,H10,0)+IF($B10=75023,H10,0)</f>
        <v>0</v>
      </c>
    </row>
    <row r="11" spans="1:15" ht="12.75">
      <c r="A11" s="167"/>
      <c r="B11" s="168">
        <v>70005</v>
      </c>
      <c r="C11" s="169"/>
      <c r="D11" s="170"/>
      <c r="E11" s="170"/>
      <c r="F11" s="168">
        <v>4600</v>
      </c>
      <c r="G11" s="170"/>
      <c r="H11" s="170">
        <v>1000</v>
      </c>
      <c r="L11" s="171">
        <f>IF($F11=4010,G11,0)+IF($F11=4110,G11,0)+IF($F11=4120,G11,0)+IF($F11=4017,G11,0)+IF($F11=4117,G11,0)+IF($F11=4127,G11,0)+IF($F11=4019,G11,0)+IF($F11=4119,G11,0)+IF($F11=4129,G11,0)</f>
        <v>0</v>
      </c>
      <c r="M11" s="171">
        <f>IF($F11=4010,H11,0)+IF($F11=4110,H11,0)+IF($F11=4120,H11,0)+IF($F11=4017,H11,0)+IF($F11=4117,H11,0)+IF($F11=4127,H11,0)+IF($F11=4019,H11,0)+IF($F11=4119,H11,0)+IF($F11=4129,H11,0)</f>
        <v>0</v>
      </c>
      <c r="N11" s="171">
        <f>IF($B11=75022,G11,0)+IF($B11=75023,G11,0)</f>
        <v>0</v>
      </c>
      <c r="O11" s="171">
        <f>IF($B11=75022,H11,0)+IF($B11=75023,H11,0)</f>
        <v>0</v>
      </c>
    </row>
    <row r="12" spans="1:15" ht="12.75">
      <c r="A12" s="167"/>
      <c r="B12" s="168">
        <v>75022</v>
      </c>
      <c r="C12" s="168"/>
      <c r="D12" s="170"/>
      <c r="E12" s="170"/>
      <c r="F12" s="168">
        <v>4700</v>
      </c>
      <c r="G12" s="170"/>
      <c r="H12" s="170">
        <v>1500</v>
      </c>
      <c r="L12" s="171">
        <f>IF($F12=4010,G12,0)+IF($F12=4110,G12,0)+IF($F12=4120,G12,0)+IF($F12=4017,G12,0)+IF($F12=4117,G12,0)+IF($F12=4127,G12,0)+IF($F12=4019,G12,0)+IF($F12=4119,G12,0)+IF($F12=4129,G12,0)</f>
        <v>0</v>
      </c>
      <c r="M12" s="171">
        <f>IF($F12=4010,H12,0)+IF($F12=4110,H12,0)+IF($F12=4120,H12,0)+IF($F12=4017,H12,0)+IF($F12=4117,H12,0)+IF($F12=4127,H12,0)+IF($F12=4019,H12,0)+IF($F12=4119,H12,0)+IF($F12=4129,H12,0)</f>
        <v>0</v>
      </c>
      <c r="N12" s="171">
        <f>IF($B12=75022,G12,0)+IF($B12=75023,G12,0)</f>
        <v>0</v>
      </c>
      <c r="O12" s="171">
        <f>IF($B12=75022,H12,0)+IF($B12=75023,H12,0)</f>
        <v>1500</v>
      </c>
    </row>
    <row r="13" spans="1:15" ht="12.75">
      <c r="A13" s="167"/>
      <c r="B13" s="168">
        <v>75022</v>
      </c>
      <c r="C13" s="168"/>
      <c r="D13" s="170"/>
      <c r="E13" s="170"/>
      <c r="F13" s="168">
        <v>4300</v>
      </c>
      <c r="G13" s="170">
        <v>1500</v>
      </c>
      <c r="H13" s="170"/>
      <c r="L13" s="171">
        <f>IF($F13=4010,G13,0)+IF($F13=4110,G13,0)+IF($F13=4120,G13,0)+IF($F13=4017,G13,0)+IF($F13=4117,G13,0)+IF($F13=4127,G13,0)+IF($F13=4019,G13,0)+IF($F13=4119,G13,0)+IF($F13=4129,G13,0)</f>
        <v>0</v>
      </c>
      <c r="M13" s="171">
        <f>IF($F13=4010,H13,0)+IF($F13=4110,H13,0)+IF($F13=4120,H13,0)+IF($F13=4017,H13,0)+IF($F13=4117,H13,0)+IF($F13=4127,H13,0)+IF($F13=4019,H13,0)+IF($F13=4119,H13,0)+IF($F13=4129,H13,0)</f>
        <v>0</v>
      </c>
      <c r="N13" s="171">
        <f>IF($B13=75022,G13,0)+IF($B13=75023,G13,0)</f>
        <v>1500</v>
      </c>
      <c r="O13" s="171">
        <f>IF($B13=75022,H13,0)+IF($B13=75023,H13,0)</f>
        <v>0</v>
      </c>
    </row>
    <row r="14" spans="1:15" ht="12.75">
      <c r="A14" s="167"/>
      <c r="B14" s="168">
        <v>75023</v>
      </c>
      <c r="C14" s="169"/>
      <c r="D14" s="170"/>
      <c r="E14" s="170"/>
      <c r="F14" s="168">
        <v>3020</v>
      </c>
      <c r="G14" s="170"/>
      <c r="H14" s="170">
        <v>10000</v>
      </c>
      <c r="L14" s="171">
        <f>IF($F14=4010,G14,0)+IF($F14=4110,G14,0)+IF($F14=4120,G14,0)+IF($F14=4017,G14,0)+IF($F14=4117,G14,0)+IF($F14=4127,G14,0)+IF($F14=4019,G14,0)+IF($F14=4119,G14,0)+IF($F14=4129,G14,0)</f>
        <v>0</v>
      </c>
      <c r="M14" s="171">
        <f>IF($F14=4010,H14,0)+IF($F14=4110,H14,0)+IF($F14=4120,H14,0)+IF($F14=4017,H14,0)+IF($F14=4117,H14,0)+IF($F14=4127,H14,0)+IF($F14=4019,H14,0)+IF($F14=4119,H14,0)+IF($F14=4129,H14,0)</f>
        <v>0</v>
      </c>
      <c r="N14" s="171">
        <f>IF($B14=75022,G14,0)+IF($B14=75023,G14,0)</f>
        <v>0</v>
      </c>
      <c r="O14" s="171">
        <f>IF($B14=75022,H14,0)+IF($B14=75023,H14,0)</f>
        <v>10000</v>
      </c>
    </row>
    <row r="15" spans="1:15" ht="12.75">
      <c r="A15" s="167"/>
      <c r="B15" s="168">
        <v>75023</v>
      </c>
      <c r="C15" s="169"/>
      <c r="D15" s="170"/>
      <c r="E15" s="170"/>
      <c r="F15" s="168">
        <v>4300</v>
      </c>
      <c r="G15" s="170">
        <v>10000</v>
      </c>
      <c r="H15" s="170"/>
      <c r="L15" s="171">
        <f>IF($F15=4010,G15,0)+IF($F15=4110,G15,0)+IF($F15=4120,G15,0)+IF($F15=4017,G15,0)+IF($F15=4117,G15,0)+IF($F15=4127,G15,0)+IF($F15=4019,G15,0)+IF($F15=4119,G15,0)+IF($F15=4129,G15,0)</f>
        <v>0</v>
      </c>
      <c r="M15" s="171">
        <f>IF($F15=4010,H15,0)+IF($F15=4110,H15,0)+IF($F15=4120,H15,0)+IF($F15=4017,H15,0)+IF($F15=4117,H15,0)+IF($F15=4127,H15,0)+IF($F15=4019,H15,0)+IF($F15=4119,H15,0)+IF($F15=4129,H15,0)</f>
        <v>0</v>
      </c>
      <c r="N15" s="171">
        <f>IF($B15=75022,G15,0)+IF($B15=75023,G15,0)</f>
        <v>10000</v>
      </c>
      <c r="O15" s="171">
        <f>IF($B15=75022,H15,0)+IF($B15=75023,H15,0)</f>
        <v>0</v>
      </c>
    </row>
    <row r="16" spans="1:15" ht="12.75">
      <c r="A16" s="167"/>
      <c r="B16" s="168">
        <v>75412</v>
      </c>
      <c r="C16" s="169"/>
      <c r="D16" s="170"/>
      <c r="E16" s="170"/>
      <c r="F16" s="168">
        <v>4350</v>
      </c>
      <c r="G16" s="170"/>
      <c r="H16" s="170">
        <v>2000</v>
      </c>
      <c r="L16" s="171">
        <f>IF($F16=4010,G16,0)+IF($F16=4110,G16,0)+IF($F16=4120,G16,0)+IF($F16=4017,G16,0)+IF($F16=4117,G16,0)+IF($F16=4127,G16,0)+IF($F16=4019,G16,0)+IF($F16=4119,G16,0)+IF($F16=4129,G16,0)</f>
        <v>0</v>
      </c>
      <c r="M16" s="171">
        <f>IF($F16=4010,H16,0)+IF($F16=4110,H16,0)+IF($F16=4120,H16,0)+IF($F16=4017,H16,0)+IF($F16=4117,H16,0)+IF($F16=4127,H16,0)+IF($F16=4019,H16,0)+IF($F16=4119,H16,0)+IF($F16=4129,H16,0)</f>
        <v>0</v>
      </c>
      <c r="N16" s="171">
        <f>IF($B16=75022,G16,0)+IF($B16=75023,G16,0)</f>
        <v>0</v>
      </c>
      <c r="O16" s="171">
        <f>IF($B16=75022,H16,0)+IF($B16=75023,H16,0)</f>
        <v>0</v>
      </c>
    </row>
    <row r="17" spans="1:15" ht="12.75">
      <c r="A17" s="167"/>
      <c r="B17" s="168">
        <v>75412</v>
      </c>
      <c r="C17" s="169"/>
      <c r="D17" s="170"/>
      <c r="E17" s="170"/>
      <c r="F17" s="168">
        <v>4300</v>
      </c>
      <c r="G17" s="170">
        <v>2000</v>
      </c>
      <c r="H17" s="170"/>
      <c r="L17" s="171">
        <f>IF($F17=4010,G17,0)+IF($F17=4110,G17,0)+IF($F17=4120,G17,0)+IF($F17=4017,G17,0)+IF($F17=4117,G17,0)+IF($F17=4127,G17,0)+IF($F17=4019,G17,0)+IF($F17=4119,G17,0)+IF($F17=4129,G17,0)</f>
        <v>0</v>
      </c>
      <c r="M17" s="171">
        <f>IF($F17=4010,H17,0)+IF($F17=4110,H17,0)+IF($F17=4120,H17,0)+IF($F17=4017,H17,0)+IF($F17=4117,H17,0)+IF($F17=4127,H17,0)+IF($F17=4019,H17,0)+IF($F17=4119,H17,0)+IF($F17=4129,H17,0)</f>
        <v>0</v>
      </c>
      <c r="N17" s="171">
        <f>IF($B17=75022,G17,0)+IF($B17=75023,G17,0)</f>
        <v>0</v>
      </c>
      <c r="O17" s="171">
        <f>IF($B17=75022,H17,0)+IF($B17=75023,H17,0)</f>
        <v>0</v>
      </c>
    </row>
    <row r="18" spans="1:15" ht="12.75">
      <c r="A18" s="167"/>
      <c r="B18" s="168">
        <v>80113</v>
      </c>
      <c r="C18" s="169"/>
      <c r="D18" s="170"/>
      <c r="E18" s="170"/>
      <c r="F18" s="168">
        <v>4700</v>
      </c>
      <c r="G18" s="170"/>
      <c r="H18" s="170">
        <v>1000</v>
      </c>
      <c r="L18" s="171">
        <f>IF($F18=4010,G18,0)+IF($F18=4110,G18,0)+IF($F18=4120,G18,0)+IF($F18=4017,G18,0)+IF($F18=4117,G18,0)+IF($F18=4127,G18,0)+IF($F18=4019,G18,0)+IF($F18=4119,G18,0)+IF($F18=4129,G18,0)</f>
        <v>0</v>
      </c>
      <c r="M18" s="171">
        <f>IF($F18=4010,H18,0)+IF($F18=4110,H18,0)+IF($F18=4120,H18,0)+IF($F18=4017,H18,0)+IF($F18=4117,H18,0)+IF($F18=4127,H18,0)+IF($F18=4019,H18,0)+IF($F18=4119,H18,0)+IF($F18=4129,H18,0)</f>
        <v>0</v>
      </c>
      <c r="N18" s="171">
        <f>IF($B18=75022,G18,0)+IF($B18=75023,G18,0)</f>
        <v>0</v>
      </c>
      <c r="O18" s="171">
        <f>IF($B18=75022,H18,0)+IF($B18=75023,H18,0)</f>
        <v>0</v>
      </c>
    </row>
    <row r="19" spans="1:15" ht="12.75">
      <c r="A19" s="167"/>
      <c r="B19" s="168">
        <v>80113</v>
      </c>
      <c r="C19" s="169"/>
      <c r="D19" s="170"/>
      <c r="E19" s="170"/>
      <c r="F19" s="168">
        <v>4300</v>
      </c>
      <c r="G19" s="170">
        <v>1000</v>
      </c>
      <c r="H19" s="170"/>
      <c r="L19" s="171">
        <f>IF($F19=4010,G19,0)+IF($F19=4110,G19,0)+IF($F19=4120,G19,0)+IF($F19=4017,G19,0)+IF($F19=4117,G19,0)+IF($F19=4127,G19,0)+IF($F19=4019,G19,0)+IF($F19=4119,G19,0)+IF($F19=4129,G19,0)</f>
        <v>0</v>
      </c>
      <c r="M19" s="171">
        <f>IF($F19=4010,H19,0)+IF($F19=4110,H19,0)+IF($F19=4120,H19,0)+IF($F19=4017,H19,0)+IF($F19=4117,H19,0)+IF($F19=4127,H19,0)+IF($F19=4019,H19,0)+IF($F19=4119,H19,0)+IF($F19=4129,H19,0)</f>
        <v>0</v>
      </c>
      <c r="N19" s="171">
        <f>IF($B19=75022,G19,0)+IF($B19=75023,G19,0)</f>
        <v>0</v>
      </c>
      <c r="O19" s="171">
        <f>IF($B19=75022,H19,0)+IF($B19=75023,H19,0)</f>
        <v>0</v>
      </c>
    </row>
    <row r="20" spans="1:15" ht="12.75">
      <c r="A20" s="167"/>
      <c r="B20" s="174">
        <v>85212</v>
      </c>
      <c r="C20" s="175" t="s">
        <v>230</v>
      </c>
      <c r="D20" s="176"/>
      <c r="E20" s="176">
        <v>5000</v>
      </c>
      <c r="F20" s="174">
        <v>4580</v>
      </c>
      <c r="G20" s="176"/>
      <c r="H20" s="176">
        <v>5000</v>
      </c>
      <c r="L20" s="171">
        <f>IF($F20=4010,G20,0)+IF($F20=4110,G20,0)+IF($F20=4120,G20,0)+IF($F20=4017,G20,0)+IF($F20=4117,G20,0)+IF($F20=4127,G20,0)+IF($F20=4019,G20,0)+IF($F20=4119,G20,0)+IF($F20=4129,G20,0)</f>
        <v>0</v>
      </c>
      <c r="M20" s="171">
        <f>IF($F20=4010,H20,0)+IF($F20=4110,H20,0)+IF($F20=4120,H20,0)+IF($F20=4017,H20,0)+IF($F20=4117,H20,0)+IF($F20=4127,H20,0)+IF($F20=4019,H20,0)+IF($F20=4119,H20,0)+IF($F20=4129,H20,0)</f>
        <v>0</v>
      </c>
      <c r="N20" s="171">
        <f>IF($B20=75022,G20,0)+IF($B20=75023,G20,0)</f>
        <v>0</v>
      </c>
      <c r="O20" s="171">
        <f>IF($B20=75022,H20,0)+IF($B20=75023,H20,0)</f>
        <v>0</v>
      </c>
    </row>
    <row r="21" spans="1:15" ht="12.75">
      <c r="A21" s="167"/>
      <c r="B21" s="174">
        <v>85212</v>
      </c>
      <c r="C21" s="175" t="s">
        <v>231</v>
      </c>
      <c r="D21" s="176"/>
      <c r="E21" s="176">
        <v>20000</v>
      </c>
      <c r="F21" s="174">
        <v>2910</v>
      </c>
      <c r="G21" s="176"/>
      <c r="H21" s="176">
        <v>20000</v>
      </c>
      <c r="L21" s="171">
        <f>IF($F21=4010,G21,0)+IF($F21=4110,G21,0)+IF($F21=4120,G21,0)+IF($F21=4017,G21,0)+IF($F21=4117,G21,0)+IF($F21=4127,G21,0)+IF($F21=4019,G21,0)+IF($F21=4119,G21,0)+IF($F21=4129,G21,0)</f>
        <v>0</v>
      </c>
      <c r="M21" s="171">
        <f>IF($F21=4010,H21,0)+IF($F21=4110,H21,0)+IF($F21=4120,H21,0)+IF($F21=4017,H21,0)+IF($F21=4117,H21,0)+IF($F21=4127,H21,0)+IF($F21=4019,H21,0)+IF($F21=4119,H21,0)+IF($F21=4129,H21,0)</f>
        <v>0</v>
      </c>
      <c r="N21" s="171">
        <f>IF($B21=75022,G21,0)+IF($B21=75023,G21,0)</f>
        <v>0</v>
      </c>
      <c r="O21" s="171">
        <f>IF($B21=75022,H21,0)+IF($B21=75023,H21,0)</f>
        <v>0</v>
      </c>
    </row>
    <row r="22" spans="1:15" ht="12.75">
      <c r="A22" s="167"/>
      <c r="B22" s="168">
        <v>90002</v>
      </c>
      <c r="C22" s="168"/>
      <c r="D22" s="170"/>
      <c r="E22" s="170"/>
      <c r="F22" s="168">
        <v>4300</v>
      </c>
      <c r="G22" s="170">
        <v>10000</v>
      </c>
      <c r="H22" s="170"/>
      <c r="L22" s="171">
        <f>IF($F22=4010,G22,0)+IF($F22=4110,G22,0)+IF($F22=4120,G22,0)+IF($F22=4017,G22,0)+IF($F22=4117,G22,0)+IF($F22=4127,G22,0)+IF($F22=4019,G22,0)+IF($F22=4119,G22,0)+IF($F22=4129,G22,0)</f>
        <v>0</v>
      </c>
      <c r="M22" s="171">
        <f>IF($F22=4010,H22,0)+IF($F22=4110,H22,0)+IF($F22=4120,H22,0)+IF($F22=4017,H22,0)+IF($F22=4117,H22,0)+IF($F22=4127,H22,0)+IF($F22=4019,H22,0)+IF($F22=4119,H22,0)+IF($F22=4129,H22,0)</f>
        <v>0</v>
      </c>
      <c r="N22" s="171">
        <f>IF($B22=75022,G22,0)+IF($B22=75023,G22,0)</f>
        <v>0</v>
      </c>
      <c r="O22" s="171">
        <f>IF($B22=75022,H22,0)+IF($B22=75023,H22,0)</f>
        <v>0</v>
      </c>
    </row>
    <row r="23" spans="1:15" ht="12.75">
      <c r="A23" s="167"/>
      <c r="B23" s="168">
        <v>90002</v>
      </c>
      <c r="C23" s="168"/>
      <c r="D23" s="170"/>
      <c r="E23" s="170"/>
      <c r="F23" s="168">
        <v>4170</v>
      </c>
      <c r="G23" s="170"/>
      <c r="H23" s="170">
        <v>10000</v>
      </c>
      <c r="I23" s="151"/>
      <c r="J23" s="151"/>
      <c r="L23" s="171">
        <f>IF($F23=4010,G23,0)+IF($F23=4110,G23,0)+IF($F23=4120,G23,0)+IF($F23=4017,G23,0)+IF($F23=4117,G23,0)+IF($F23=4127,G23,0)+IF($F23=4019,G23,0)+IF($F23=4119,G23,0)+IF($F23=4129,G23,0)</f>
        <v>0</v>
      </c>
      <c r="M23" s="171">
        <f>IF($F23=4010,H23,0)+IF($F23=4110,H23,0)+IF($F23=4120,H23,0)+IF($F23=4017,H23,0)+IF($F23=4117,H23,0)+IF($F23=4127,H23,0)+IF($F23=4019,H23,0)+IF($F23=4119,H23,0)+IF($F23=4129,H23,0)</f>
        <v>0</v>
      </c>
      <c r="N23" s="171">
        <f>IF($B23=75022,G23,0)+IF($B23=75023,G23,0)</f>
        <v>0</v>
      </c>
      <c r="O23" s="171">
        <f>IF($B23=75022,H23,0)+IF($B23=75023,H23,0)</f>
        <v>0</v>
      </c>
    </row>
    <row r="24" spans="1:15" ht="12.75">
      <c r="A24" s="167"/>
      <c r="B24" s="177"/>
      <c r="C24" s="169"/>
      <c r="D24" s="178"/>
      <c r="E24" s="178"/>
      <c r="F24" s="177"/>
      <c r="G24" s="178"/>
      <c r="H24" s="178"/>
      <c r="L24" s="171">
        <f>IF($F24=4010,G24,0)+IF($F24=4110,G24,0)+IF($F24=4120,G24,0)+IF($F24=4017,G24,0)+IF($F24=4117,G24,0)+IF($F24=4127,G24,0)+IF($F24=4019,G24,0)+IF($F24=4119,G24,0)+IF($F24=4129,G24,0)</f>
        <v>0</v>
      </c>
      <c r="M24" s="171">
        <f>IF($F24=4010,H24,0)+IF($F24=4110,H24,0)+IF($F24=4120,H24,0)+IF($F24=4017,H24,0)+IF($F24=4117,H24,0)+IF($F24=4127,H24,0)+IF($F24=4019,H24,0)+IF($F24=4119,H24,0)+IF($F24=4129,H24,0)</f>
        <v>0</v>
      </c>
      <c r="N24" s="171">
        <f>IF($B24=75022,G24,0)+IF($B24=75023,G24,0)</f>
        <v>0</v>
      </c>
      <c r="O24" s="171">
        <f>IF($B24=75022,H24,0)+IF($B24=75023,H24,0)</f>
        <v>0</v>
      </c>
    </row>
    <row r="25" spans="1:15" ht="12.75">
      <c r="A25" s="167" t="s">
        <v>232</v>
      </c>
      <c r="B25" s="168">
        <v>80101</v>
      </c>
      <c r="C25" s="179"/>
      <c r="D25" s="178"/>
      <c r="E25" s="180"/>
      <c r="F25" s="177">
        <v>3020</v>
      </c>
      <c r="G25" s="178">
        <v>8900</v>
      </c>
      <c r="H25" s="180"/>
      <c r="L25" s="171">
        <f>IF($F25=4010,G25,0)+IF($F25=4110,G25,0)+IF($F25=4120,G25,0)+IF($F25=4017,G25,0)+IF($F25=4117,G25,0)+IF($F25=4127,G25,0)+IF($F25=4019,G25,0)+IF($F25=4119,G25,0)+IF($F25=4129,G25,0)</f>
        <v>0</v>
      </c>
      <c r="M25" s="171">
        <f>IF($F25=4010,H25,0)+IF($F25=4110,H25,0)+IF($F25=4120,H25,0)+IF($F25=4017,H25,0)+IF($F25=4117,H25,0)+IF($F25=4127,H25,0)+IF($F25=4019,H25,0)+IF($F25=4119,H25,0)+IF($F25=4129,H25,0)</f>
        <v>0</v>
      </c>
      <c r="N25" s="171">
        <f>IF($B25=75022,G25,0)+IF($B25=75023,G25,0)</f>
        <v>0</v>
      </c>
      <c r="O25" s="171">
        <f>IF($B25=75022,H25,0)+IF($B25=75023,H25,0)</f>
        <v>0</v>
      </c>
    </row>
    <row r="26" spans="1:15" ht="12.75">
      <c r="A26" s="167"/>
      <c r="B26" s="177"/>
      <c r="C26" s="169"/>
      <c r="D26" s="178"/>
      <c r="E26" s="178"/>
      <c r="F26" s="177">
        <v>4010</v>
      </c>
      <c r="G26" s="178">
        <v>99600</v>
      </c>
      <c r="H26" s="178"/>
      <c r="L26" s="171">
        <f>IF($F26=4010,G26,0)+IF($F26=4110,G26,0)+IF($F26=4120,G26,0)+IF($F26=4017,G26,0)+IF($F26=4117,G26,0)+IF($F26=4127,G26,0)+IF($F26=4019,G26,0)+IF($F26=4119,G26,0)+IF($F26=4129,G26,0)</f>
        <v>99600</v>
      </c>
      <c r="M26" s="171">
        <f>IF($F26=4010,H26,0)+IF($F26=4110,H26,0)+IF($F26=4120,H26,0)+IF($F26=4017,H26,0)+IF($F26=4117,H26,0)+IF($F26=4127,H26,0)+IF($F26=4019,H26,0)+IF($F26=4119,H26,0)+IF($F26=4129,H26,0)</f>
        <v>0</v>
      </c>
      <c r="N26" s="171">
        <f>IF($B26=75022,G26,0)+IF($B26=75023,G26,0)</f>
        <v>0</v>
      </c>
      <c r="O26" s="171">
        <f>IF($B26=75022,H26,0)+IF($B26=75023,H26,0)</f>
        <v>0</v>
      </c>
    </row>
    <row r="27" spans="1:15" ht="12.75">
      <c r="A27" s="167"/>
      <c r="B27" s="172"/>
      <c r="C27" s="181"/>
      <c r="D27" s="170"/>
      <c r="E27" s="170"/>
      <c r="F27" s="168">
        <v>4040</v>
      </c>
      <c r="G27" s="170">
        <v>8020</v>
      </c>
      <c r="H27" s="170"/>
      <c r="L27" s="171">
        <f>IF($F27=4010,G27,0)+IF($F27=4110,G27,0)+IF($F27=4120,G27,0)+IF($F27=4017,G27,0)+IF($F27=4117,G27,0)+IF($F27=4127,G27,0)+IF($F27=4019,G27,0)+IF($F27=4119,G27,0)+IF($F27=4129,G27,0)</f>
        <v>0</v>
      </c>
      <c r="M27" s="171">
        <f>IF($F27=4010,H27,0)+IF($F27=4110,H27,0)+IF($F27=4120,H27,0)+IF($F27=4017,H27,0)+IF($F27=4117,H27,0)+IF($F27=4127,H27,0)+IF($F27=4019,H27,0)+IF($F27=4119,H27,0)+IF($F27=4129,H27,0)</f>
        <v>0</v>
      </c>
      <c r="N27" s="171">
        <f>IF($B27=75022,G27,0)+IF($B27=75023,G27,0)</f>
        <v>0</v>
      </c>
      <c r="O27" s="171">
        <f>IF($B27=75022,H27,0)+IF($B27=75023,H27,0)</f>
        <v>0</v>
      </c>
    </row>
    <row r="28" spans="1:15" ht="12.75">
      <c r="A28" s="167"/>
      <c r="B28" s="172"/>
      <c r="C28" s="181"/>
      <c r="D28" s="170"/>
      <c r="E28" s="170"/>
      <c r="F28" s="168">
        <v>4110</v>
      </c>
      <c r="G28" s="170">
        <v>17600</v>
      </c>
      <c r="H28" s="170"/>
      <c r="L28" s="171">
        <f>IF($F28=4010,G28,0)+IF($F28=4110,G28,0)+IF($F28=4120,G28,0)+IF($F28=4017,G28,0)+IF($F28=4117,G28,0)+IF($F28=4127,G28,0)+IF($F28=4019,G28,0)+IF($F28=4119,G28,0)+IF($F28=4129,G28,0)</f>
        <v>17600</v>
      </c>
      <c r="M28" s="171">
        <f>IF($F28=4010,H28,0)+IF($F28=4110,H28,0)+IF($F28=4120,H28,0)+IF($F28=4017,H28,0)+IF($F28=4117,H28,0)+IF($F28=4127,H28,0)+IF($F28=4019,H28,0)+IF($F28=4119,H28,0)+IF($F28=4129,H28,0)</f>
        <v>0</v>
      </c>
      <c r="N28" s="171">
        <f>IF($B28=75022,G28,0)+IF($B28=75023,G28,0)</f>
        <v>0</v>
      </c>
      <c r="O28" s="171">
        <f>IF($B28=75022,H28,0)+IF($B28=75023,H28,0)</f>
        <v>0</v>
      </c>
    </row>
    <row r="29" spans="1:15" ht="12.75">
      <c r="A29" s="167"/>
      <c r="B29" s="172"/>
      <c r="C29" s="181"/>
      <c r="D29" s="170"/>
      <c r="E29" s="170"/>
      <c r="F29" s="168">
        <v>4120</v>
      </c>
      <c r="G29" s="170">
        <v>2800</v>
      </c>
      <c r="H29" s="170"/>
      <c r="L29" s="171">
        <f>IF($F29=4010,G29,0)+IF($F29=4110,G29,0)+IF($F29=4120,G29,0)+IF($F29=4017,G29,0)+IF($F29=4117,G29,0)+IF($F29=4127,G29,0)+IF($F29=4019,G29,0)+IF($F29=4119,G29,0)+IF($F29=4129,G29,0)</f>
        <v>2800</v>
      </c>
      <c r="M29" s="171">
        <f>IF($F29=4010,H29,0)+IF($F29=4110,H29,0)+IF($F29=4120,H29,0)+IF($F29=4017,H29,0)+IF($F29=4117,H29,0)+IF($F29=4127,H29,0)+IF($F29=4019,H29,0)+IF($F29=4119,H29,0)+IF($F29=4129,H29,0)</f>
        <v>0</v>
      </c>
      <c r="N29" s="171">
        <f>IF($B29=75022,G29,0)+IF($B29=75023,G29,0)</f>
        <v>0</v>
      </c>
      <c r="O29" s="171">
        <f>IF($B29=75022,H29,0)+IF($B29=75023,H29,0)</f>
        <v>0</v>
      </c>
    </row>
    <row r="30" spans="1:15" ht="12.75">
      <c r="A30" s="167"/>
      <c r="B30" s="172"/>
      <c r="C30" s="181"/>
      <c r="D30" s="170"/>
      <c r="E30" s="170"/>
      <c r="F30" s="168">
        <v>4210</v>
      </c>
      <c r="G30" s="170">
        <v>1000</v>
      </c>
      <c r="H30" s="170"/>
      <c r="L30" s="171">
        <f>IF($F30=4010,G30,0)+IF($F30=4110,G30,0)+IF($F30=4120,G30,0)+IF($F30=4017,G30,0)+IF($F30=4117,G30,0)+IF($F30=4127,G30,0)+IF($F30=4019,G30,0)+IF($F30=4119,G30,0)+IF($F30=4129,G30,0)</f>
        <v>0</v>
      </c>
      <c r="M30" s="171">
        <f>IF($F30=4010,H30,0)+IF($F30=4110,H30,0)+IF($F30=4120,H30,0)+IF($F30=4017,H30,0)+IF($F30=4117,H30,0)+IF($F30=4127,H30,0)+IF($F30=4019,H30,0)+IF($F30=4119,H30,0)+IF($F30=4129,H30,0)</f>
        <v>0</v>
      </c>
      <c r="N30" s="171">
        <f>IF($B30=75022,G30,0)+IF($B30=75023,G30,0)</f>
        <v>0</v>
      </c>
      <c r="O30" s="171">
        <f>IF($B30=75022,H30,0)+IF($B30=75023,H30,0)</f>
        <v>0</v>
      </c>
    </row>
    <row r="31" spans="1:15" ht="12.75">
      <c r="A31" s="167"/>
      <c r="B31" s="172"/>
      <c r="C31" s="181"/>
      <c r="D31" s="170"/>
      <c r="E31" s="170"/>
      <c r="F31" s="168">
        <v>4240</v>
      </c>
      <c r="G31" s="170">
        <v>200</v>
      </c>
      <c r="H31" s="170"/>
      <c r="L31" s="171">
        <f>IF($F31=4010,G31,0)+IF($F31=4110,G31,0)+IF($F31=4120,G31,0)+IF($F31=4017,G31,0)+IF($F31=4117,G31,0)+IF($F31=4127,G31,0)+IF($F31=4019,G31,0)+IF($F31=4119,G31,0)+IF($F31=4129,G31,0)</f>
        <v>0</v>
      </c>
      <c r="M31" s="171">
        <f>IF($F31=4010,H31,0)+IF($F31=4110,H31,0)+IF($F31=4120,H31,0)+IF($F31=4017,H31,0)+IF($F31=4117,H31,0)+IF($F31=4127,H31,0)+IF($F31=4019,H31,0)+IF($F31=4119,H31,0)+IF($F31=4129,H31,0)</f>
        <v>0</v>
      </c>
      <c r="N31" s="171">
        <f>IF($B31=75022,G31,0)+IF($B31=75023,G31,0)</f>
        <v>0</v>
      </c>
      <c r="O31" s="171">
        <f>IF($B31=75022,H31,0)+IF($B31=75023,H31,0)</f>
        <v>0</v>
      </c>
    </row>
    <row r="32" spans="1:15" ht="12.75">
      <c r="A32" s="167"/>
      <c r="B32" s="172"/>
      <c r="C32" s="181"/>
      <c r="D32" s="170"/>
      <c r="E32" s="170"/>
      <c r="F32" s="168">
        <v>4260</v>
      </c>
      <c r="G32" s="170">
        <v>1000</v>
      </c>
      <c r="H32" s="170"/>
      <c r="L32" s="171">
        <f>IF($F32=4010,G32,0)+IF($F32=4110,G32,0)+IF($F32=4120,G32,0)+IF($F32=4017,G32,0)+IF($F32=4117,G32,0)+IF($F32=4127,G32,0)+IF($F32=4019,G32,0)+IF($F32=4119,G32,0)+IF($F32=4129,G32,0)</f>
        <v>0</v>
      </c>
      <c r="M32" s="171">
        <f>IF($F32=4010,H32,0)+IF($F32=4110,H32,0)+IF($F32=4120,H32,0)+IF($F32=4017,H32,0)+IF($F32=4117,H32,0)+IF($F32=4127,H32,0)+IF($F32=4019,H32,0)+IF($F32=4119,H32,0)+IF($F32=4129,H32,0)</f>
        <v>0</v>
      </c>
      <c r="N32" s="171">
        <f>IF($B32=75022,G32,0)+IF($B32=75023,G32,0)</f>
        <v>0</v>
      </c>
      <c r="O32" s="171">
        <f>IF($B32=75022,H32,0)+IF($B32=75023,H32,0)</f>
        <v>0</v>
      </c>
    </row>
    <row r="33" spans="1:15" ht="12.75">
      <c r="A33" s="167"/>
      <c r="B33" s="172"/>
      <c r="C33" s="181"/>
      <c r="D33" s="178"/>
      <c r="E33" s="170"/>
      <c r="F33" s="177">
        <v>4280</v>
      </c>
      <c r="G33" s="178">
        <v>100</v>
      </c>
      <c r="H33" s="170"/>
      <c r="L33" s="171">
        <f>IF($F33=4010,G33,0)+IF($F33=4110,G33,0)+IF($F33=4120,G33,0)+IF($F33=4017,G33,0)+IF($F33=4117,G33,0)+IF($F33=4127,G33,0)+IF($F33=4019,G33,0)+IF($F33=4119,G33,0)+IF($F33=4129,G33,0)</f>
        <v>0</v>
      </c>
      <c r="M33" s="171">
        <f>IF($F33=4010,H33,0)+IF($F33=4110,H33,0)+IF($F33=4120,H33,0)+IF($F33=4017,H33,0)+IF($F33=4117,H33,0)+IF($F33=4127,H33,0)+IF($F33=4019,H33,0)+IF($F33=4119,H33,0)+IF($F33=4129,H33,0)</f>
        <v>0</v>
      </c>
      <c r="N33" s="171">
        <f>IF($B33=75022,G33,0)+IF($B33=75023,G33,0)</f>
        <v>0</v>
      </c>
      <c r="O33" s="171">
        <f>IF($B33=75022,H33,0)+IF($B33=75023,H33,0)</f>
        <v>0</v>
      </c>
    </row>
    <row r="34" spans="1:15" ht="12.75">
      <c r="A34" s="167"/>
      <c r="B34" s="172"/>
      <c r="C34" s="181"/>
      <c r="D34" s="178"/>
      <c r="E34" s="170"/>
      <c r="F34" s="177">
        <v>4300</v>
      </c>
      <c r="G34" s="178">
        <v>1000</v>
      </c>
      <c r="H34" s="170"/>
      <c r="L34" s="171">
        <f>IF($F34=4010,G34,0)+IF($F34=4110,G34,0)+IF($F34=4120,G34,0)+IF($F34=4017,G34,0)+IF($F34=4117,G34,0)+IF($F34=4127,G34,0)+IF($F34=4019,G34,0)+IF($F34=4119,G34,0)+IF($F34=4129,G34,0)</f>
        <v>0</v>
      </c>
      <c r="M34" s="171">
        <f>IF($F34=4010,H34,0)+IF($F34=4110,H34,0)+IF($F34=4120,H34,0)+IF($F34=4017,H34,0)+IF($F34=4117,H34,0)+IF($F34=4127,H34,0)+IF($F34=4019,H34,0)+IF($F34=4119,H34,0)+IF($F34=4129,H34,0)</f>
        <v>0</v>
      </c>
      <c r="N34" s="171">
        <f>IF($B34=75022,G34,0)+IF($B34=75023,G34,0)</f>
        <v>0</v>
      </c>
      <c r="O34" s="171">
        <f>IF($B34=75022,H34,0)+IF($B34=75023,H34,0)</f>
        <v>0</v>
      </c>
    </row>
    <row r="35" spans="1:15" ht="12.75">
      <c r="A35" s="167"/>
      <c r="B35" s="172"/>
      <c r="C35" s="181"/>
      <c r="D35" s="178"/>
      <c r="E35" s="170"/>
      <c r="F35" s="177">
        <v>4410</v>
      </c>
      <c r="G35" s="178">
        <v>100</v>
      </c>
      <c r="H35" s="170"/>
      <c r="L35" s="171">
        <f>IF($F35=4010,G35,0)+IF($F35=4110,G35,0)+IF($F35=4120,G35,0)+IF($F35=4017,G35,0)+IF($F35=4117,G35,0)+IF($F35=4127,G35,0)+IF($F35=4019,G35,0)+IF($F35=4119,G35,0)+IF($F35=4129,G35,0)</f>
        <v>0</v>
      </c>
      <c r="M35" s="171">
        <f>IF($F35=4010,H35,0)+IF($F35=4110,H35,0)+IF($F35=4120,H35,0)+IF($F35=4017,H35,0)+IF($F35=4117,H35,0)+IF($F35=4127,H35,0)+IF($F35=4019,H35,0)+IF($F35=4119,H35,0)+IF($F35=4129,H35,0)</f>
        <v>0</v>
      </c>
      <c r="N35" s="171">
        <f>IF($B35=75022,G35,0)+IF($B35=75023,G35,0)</f>
        <v>0</v>
      </c>
      <c r="O35" s="171">
        <f>IF($B35=75022,H35,0)+IF($B35=75023,H35,0)</f>
        <v>0</v>
      </c>
    </row>
    <row r="36" spans="1:15" ht="12.75">
      <c r="A36" s="167"/>
      <c r="B36" s="172"/>
      <c r="C36" s="181"/>
      <c r="D36" s="178"/>
      <c r="E36" s="170"/>
      <c r="F36" s="177">
        <v>4440</v>
      </c>
      <c r="G36" s="178">
        <v>5700</v>
      </c>
      <c r="H36" s="170"/>
      <c r="L36" s="171">
        <f>IF($F36=4010,G36,0)+IF($F36=4110,G36,0)+IF($F36=4120,G36,0)+IF($F36=4017,G36,0)+IF($F36=4117,G36,0)+IF($F36=4127,G36,0)+IF($F36=4019,G36,0)+IF($F36=4119,G36,0)+IF($F36=4129,G36,0)</f>
        <v>0</v>
      </c>
      <c r="M36" s="171">
        <f>IF($F36=4010,H36,0)+IF($F36=4110,H36,0)+IF($F36=4120,H36,0)+IF($F36=4017,H36,0)+IF($F36=4117,H36,0)+IF($F36=4127,H36,0)+IF($F36=4019,H36,0)+IF($F36=4119,H36,0)+IF($F36=4129,H36,0)</f>
        <v>0</v>
      </c>
      <c r="N36" s="171">
        <f>IF($B36=75022,G36,0)+IF($B36=75023,G36,0)</f>
        <v>0</v>
      </c>
      <c r="O36" s="171">
        <f>IF($B36=75022,H36,0)+IF($B36=75023,H36,0)</f>
        <v>0</v>
      </c>
    </row>
    <row r="37" spans="1:15" ht="12.75">
      <c r="A37" s="167"/>
      <c r="B37" s="172"/>
      <c r="C37" s="181"/>
      <c r="D37" s="178"/>
      <c r="E37" s="170"/>
      <c r="F37" s="177">
        <v>4700</v>
      </c>
      <c r="G37" s="178">
        <v>200</v>
      </c>
      <c r="H37" s="170"/>
      <c r="L37" s="171">
        <f>IF($F37=4010,G37,0)+IF($F37=4110,G37,0)+IF($F37=4120,G37,0)+IF($F37=4017,G37,0)+IF($F37=4117,G37,0)+IF($F37=4127,G37,0)+IF($F37=4019,G37,0)+IF($F37=4119,G37,0)+IF($F37=4129,G37,0)</f>
        <v>0</v>
      </c>
      <c r="M37" s="171">
        <f>IF($F37=4010,H37,0)+IF($F37=4110,H37,0)+IF($F37=4120,H37,0)+IF($F37=4017,H37,0)+IF($F37=4117,H37,0)+IF($F37=4127,H37,0)+IF($F37=4019,H37,0)+IF($F37=4119,H37,0)+IF($F37=4129,H37,0)</f>
        <v>0</v>
      </c>
      <c r="N37" s="171">
        <f>IF($B37=75022,G37,0)+IF($B37=75023,G37,0)</f>
        <v>0</v>
      </c>
      <c r="O37" s="171">
        <f>IF($B37=75022,H37,0)+IF($B37=75023,H37,0)</f>
        <v>0</v>
      </c>
    </row>
    <row r="38" spans="1:15" ht="12.75">
      <c r="A38" s="167"/>
      <c r="B38" s="172" t="s">
        <v>233</v>
      </c>
      <c r="C38" s="181"/>
      <c r="D38" s="178"/>
      <c r="E38" s="170"/>
      <c r="F38" s="177">
        <v>3020</v>
      </c>
      <c r="G38" s="178"/>
      <c r="H38" s="170">
        <v>8900</v>
      </c>
      <c r="L38" s="171">
        <f>IF($F38=4010,G38,0)+IF($F38=4110,G38,0)+IF($F38=4120,G38,0)+IF($F38=4017,G38,0)+IF($F38=4117,G38,0)+IF($F38=4127,G38,0)+IF($F38=4019,G38,0)+IF($F38=4119,G38,0)+IF($F38=4129,G38,0)</f>
        <v>0</v>
      </c>
      <c r="M38" s="171">
        <f>IF($F38=4010,H38,0)+IF($F38=4110,H38,0)+IF($F38=4120,H38,0)+IF($F38=4017,H38,0)+IF($F38=4117,H38,0)+IF($F38=4127,H38,0)+IF($F38=4019,H38,0)+IF($F38=4119,H38,0)+IF($F38=4129,H38,0)</f>
        <v>0</v>
      </c>
      <c r="N38" s="171">
        <f>IF($B38=75022,G38,0)+IF($B38=75023,G38,0)</f>
        <v>0</v>
      </c>
      <c r="O38" s="171">
        <f>IF($B38=75022,H38,0)+IF($B38=75023,H38,0)</f>
        <v>0</v>
      </c>
    </row>
    <row r="39" spans="1:15" ht="12.75">
      <c r="A39" s="167"/>
      <c r="B39" s="172"/>
      <c r="C39" s="181"/>
      <c r="D39" s="178"/>
      <c r="E39" s="170"/>
      <c r="F39" s="177">
        <v>4010</v>
      </c>
      <c r="G39" s="178"/>
      <c r="H39" s="178">
        <v>99600</v>
      </c>
      <c r="L39" s="171">
        <f>IF($F39=4010,G39,0)+IF($F39=4110,G39,0)+IF($F39=4120,G39,0)+IF($F39=4017,G39,0)+IF($F39=4117,G39,0)+IF($F39=4127,G39,0)+IF($F39=4019,G39,0)+IF($F39=4119,G39,0)+IF($F39=4129,G39,0)</f>
        <v>0</v>
      </c>
      <c r="M39" s="171">
        <f>IF($F39=4010,H39,0)+IF($F39=4110,H39,0)+IF($F39=4120,H39,0)+IF($F39=4017,H39,0)+IF($F39=4117,H39,0)+IF($F39=4127,H39,0)+IF($F39=4019,H39,0)+IF($F39=4119,H39,0)+IF($F39=4129,H39,0)</f>
        <v>99600</v>
      </c>
      <c r="N39" s="171">
        <f>IF($B39=75022,G39,0)+IF($B39=75023,G39,0)</f>
        <v>0</v>
      </c>
      <c r="O39" s="171">
        <f>IF($B39=75022,H39,0)+IF($B39=75023,H39,0)</f>
        <v>0</v>
      </c>
    </row>
    <row r="40" spans="1:15" ht="12.75">
      <c r="A40" s="167"/>
      <c r="B40" s="172"/>
      <c r="C40" s="181"/>
      <c r="D40" s="178"/>
      <c r="E40" s="170"/>
      <c r="F40" s="168">
        <v>4040</v>
      </c>
      <c r="G40" s="178"/>
      <c r="H40" s="170">
        <v>8020</v>
      </c>
      <c r="L40" s="171">
        <f>IF($F40=4010,G40,0)+IF($F40=4110,G40,0)+IF($F40=4120,G40,0)+IF($F40=4017,G40,0)+IF($F40=4117,G40,0)+IF($F40=4127,G40,0)+IF($F40=4019,G40,0)+IF($F40=4119,G40,0)+IF($F40=4129,G40,0)</f>
        <v>0</v>
      </c>
      <c r="M40" s="171">
        <f>IF($F40=4010,H40,0)+IF($F40=4110,H40,0)+IF($F40=4120,H40,0)+IF($F40=4017,H40,0)+IF($F40=4117,H40,0)+IF($F40=4127,H40,0)+IF($F40=4019,H40,0)+IF($F40=4119,H40,0)+IF($F40=4129,H40,0)</f>
        <v>0</v>
      </c>
      <c r="N40" s="171">
        <f>IF($B40=75022,G40,0)+IF($B40=75023,G40,0)</f>
        <v>0</v>
      </c>
      <c r="O40" s="171">
        <f>IF($B40=75022,H40,0)+IF($B40=75023,H40,0)</f>
        <v>0</v>
      </c>
    </row>
    <row r="41" spans="1:15" ht="12.75">
      <c r="A41" s="167"/>
      <c r="B41" s="172"/>
      <c r="C41" s="181"/>
      <c r="D41" s="178"/>
      <c r="E41" s="170"/>
      <c r="F41" s="168">
        <v>4110</v>
      </c>
      <c r="G41" s="178"/>
      <c r="H41" s="170">
        <v>17600</v>
      </c>
      <c r="L41" s="171">
        <f>IF($F41=4010,G41,0)+IF($F41=4110,G41,0)+IF($F41=4120,G41,0)+IF($F41=4017,G41,0)+IF($F41=4117,G41,0)+IF($F41=4127,G41,0)+IF($F41=4019,G41,0)+IF($F41=4119,G41,0)+IF($F41=4129,G41,0)</f>
        <v>0</v>
      </c>
      <c r="M41" s="171">
        <f>IF($F41=4010,H41,0)+IF($F41=4110,H41,0)+IF($F41=4120,H41,0)+IF($F41=4017,H41,0)+IF($F41=4117,H41,0)+IF($F41=4127,H41,0)+IF($F41=4019,H41,0)+IF($F41=4119,H41,0)+IF($F41=4129,H41,0)</f>
        <v>17600</v>
      </c>
      <c r="N41" s="171">
        <f>IF($B41=75022,G41,0)+IF($B41=75023,G41,0)</f>
        <v>0</v>
      </c>
      <c r="O41" s="171">
        <f>IF($B41=75022,H41,0)+IF($B41=75023,H41,0)</f>
        <v>0</v>
      </c>
    </row>
    <row r="42" spans="1:15" ht="12.75">
      <c r="A42" s="167"/>
      <c r="B42" s="177"/>
      <c r="C42" s="182"/>
      <c r="D42" s="178"/>
      <c r="E42" s="170"/>
      <c r="F42" s="168">
        <v>4120</v>
      </c>
      <c r="G42" s="178"/>
      <c r="H42" s="170">
        <v>2800</v>
      </c>
      <c r="L42" s="171">
        <f>IF($F42=4010,G42,0)+IF($F42=4110,G42,0)+IF($F42=4120,G42,0)+IF($F42=4017,G42,0)+IF($F42=4117,G42,0)+IF($F42=4127,G42,0)+IF($F42=4019,G42,0)+IF($F42=4119,G42,0)+IF($F42=4129,G42,0)</f>
        <v>0</v>
      </c>
      <c r="M42" s="171">
        <f>IF($F42=4010,H42,0)+IF($F42=4110,H42,0)+IF($F42=4120,H42,0)+IF($F42=4017,H42,0)+IF($F42=4117,H42,0)+IF($F42=4127,H42,0)+IF($F42=4019,H42,0)+IF($F42=4119,H42,0)+IF($F42=4129,H42,0)</f>
        <v>2800</v>
      </c>
      <c r="N42" s="171">
        <f>IF($B42=75022,G42,0)+IF($B42=75023,G42,0)</f>
        <v>0</v>
      </c>
      <c r="O42" s="171">
        <f>IF($B42=75022,H42,0)+IF($B42=75023,H42,0)</f>
        <v>0</v>
      </c>
    </row>
    <row r="43" spans="1:15" ht="12.75">
      <c r="A43" s="167"/>
      <c r="B43" s="177"/>
      <c r="C43" s="182"/>
      <c r="D43" s="178"/>
      <c r="E43" s="170"/>
      <c r="F43" s="168">
        <v>4210</v>
      </c>
      <c r="G43" s="178"/>
      <c r="H43" s="170">
        <v>1000</v>
      </c>
      <c r="L43" s="171">
        <f>IF($F43=4010,G43,0)+IF($F43=4110,G43,0)+IF($F43=4120,G43,0)+IF($F43=4017,G43,0)+IF($F43=4117,G43,0)+IF($F43=4127,G43,0)+IF($F43=4019,G43,0)+IF($F43=4119,G43,0)+IF($F43=4129,G43,0)</f>
        <v>0</v>
      </c>
      <c r="M43" s="171">
        <f>IF($F43=4010,H43,0)+IF($F43=4110,H43,0)+IF($F43=4120,H43,0)+IF($F43=4017,H43,0)+IF($F43=4117,H43,0)+IF($F43=4127,H43,0)+IF($F43=4019,H43,0)+IF($F43=4119,H43,0)+IF($F43=4129,H43,0)</f>
        <v>0</v>
      </c>
      <c r="N43" s="171">
        <f>IF($B43=75022,G43,0)+IF($B43=75023,G43,0)</f>
        <v>0</v>
      </c>
      <c r="O43" s="171">
        <f>IF($B43=75022,H43,0)+IF($B43=75023,H43,0)</f>
        <v>0</v>
      </c>
    </row>
    <row r="44" spans="1:15" ht="12.75">
      <c r="A44" s="167"/>
      <c r="B44" s="177"/>
      <c r="C44" s="182"/>
      <c r="D44" s="178"/>
      <c r="E44" s="170"/>
      <c r="F44" s="168">
        <v>4240</v>
      </c>
      <c r="G44" s="178"/>
      <c r="H44" s="170">
        <v>200</v>
      </c>
      <c r="L44" s="171">
        <f>IF($F44=4010,G44,0)+IF($F44=4110,G44,0)+IF($F44=4120,G44,0)+IF($F44=4017,G44,0)+IF($F44=4117,G44,0)+IF($F44=4127,G44,0)+IF($F44=4019,G44,0)+IF($F44=4119,G44,0)+IF($F44=4129,G44,0)</f>
        <v>0</v>
      </c>
      <c r="M44" s="171">
        <f>IF($F44=4010,H44,0)+IF($F44=4110,H44,0)+IF($F44=4120,H44,0)+IF($F44=4017,H44,0)+IF($F44=4117,H44,0)+IF($F44=4127,H44,0)+IF($F44=4019,H44,0)+IF($F44=4119,H44,0)+IF($F44=4129,H44,0)</f>
        <v>0</v>
      </c>
      <c r="N44" s="171">
        <f>IF($B44=75022,G44,0)+IF($B44=75023,G44,0)</f>
        <v>0</v>
      </c>
      <c r="O44" s="171">
        <f>IF($B44=75022,H44,0)+IF($B44=75023,H44,0)</f>
        <v>0</v>
      </c>
    </row>
    <row r="45" spans="1:15" ht="12.75">
      <c r="A45" s="167"/>
      <c r="B45" s="177"/>
      <c r="C45" s="182"/>
      <c r="D45" s="178"/>
      <c r="E45" s="170"/>
      <c r="F45" s="168">
        <v>4260</v>
      </c>
      <c r="G45" s="178"/>
      <c r="H45" s="170">
        <v>1000</v>
      </c>
      <c r="L45" s="171">
        <f>IF($F45=4010,G45,0)+IF($F45=4110,G45,0)+IF($F45=4120,G45,0)+IF($F45=4017,G45,0)+IF($F45=4117,G45,0)+IF($F45=4127,G45,0)+IF($F45=4019,G45,0)+IF($F45=4119,G45,0)+IF($F45=4129,G45,0)</f>
        <v>0</v>
      </c>
      <c r="M45" s="171">
        <f>IF($F45=4010,H45,0)+IF($F45=4110,H45,0)+IF($F45=4120,H45,0)+IF($F45=4017,H45,0)+IF($F45=4117,H45,0)+IF($F45=4127,H45,0)+IF($F45=4019,H45,0)+IF($F45=4119,H45,0)+IF($F45=4129,H45,0)</f>
        <v>0</v>
      </c>
      <c r="N45" s="171">
        <f>IF($B45=75022,G45,0)+IF($B45=75023,G45,0)</f>
        <v>0</v>
      </c>
      <c r="O45" s="171">
        <f>IF($B45=75022,H45,0)+IF($B45=75023,H45,0)</f>
        <v>0</v>
      </c>
    </row>
    <row r="46" spans="1:15" ht="12.75">
      <c r="A46" s="167"/>
      <c r="B46" s="177"/>
      <c r="C46" s="182"/>
      <c r="D46" s="178"/>
      <c r="E46" s="170"/>
      <c r="F46" s="177">
        <v>4280</v>
      </c>
      <c r="G46" s="178"/>
      <c r="H46" s="178">
        <v>100</v>
      </c>
      <c r="L46" s="171">
        <f>IF($F46=4010,G46,0)+IF($F46=4110,G46,0)+IF($F46=4120,G46,0)+IF($F46=4017,G46,0)+IF($F46=4117,G46,0)+IF($F46=4127,G46,0)+IF($F46=4019,G46,0)+IF($F46=4119,G46,0)+IF($F46=4129,G46,0)</f>
        <v>0</v>
      </c>
      <c r="M46" s="171">
        <f>IF($F46=4010,H46,0)+IF($F46=4110,H46,0)+IF($F46=4120,H46,0)+IF($F46=4017,H46,0)+IF($F46=4117,H46,0)+IF($F46=4127,H46,0)+IF($F46=4019,H46,0)+IF($F46=4119,H46,0)+IF($F46=4129,H46,0)</f>
        <v>0</v>
      </c>
      <c r="N46" s="171">
        <f>IF($B46=75022,G46,0)+IF($B46=75023,G46,0)</f>
        <v>0</v>
      </c>
      <c r="O46" s="171">
        <f>IF($B46=75022,H46,0)+IF($B46=75023,H46,0)</f>
        <v>0</v>
      </c>
    </row>
    <row r="47" spans="1:15" ht="12.75">
      <c r="A47" s="167"/>
      <c r="B47" s="177"/>
      <c r="C47" s="182"/>
      <c r="D47" s="178"/>
      <c r="E47" s="170"/>
      <c r="F47" s="177">
        <v>4300</v>
      </c>
      <c r="G47" s="178"/>
      <c r="H47" s="178">
        <v>1000</v>
      </c>
      <c r="L47" s="171">
        <f>IF($F47=4010,G47,0)+IF($F47=4110,G47,0)+IF($F47=4120,G47,0)+IF($F47=4017,G47,0)+IF($F47=4117,G47,0)+IF($F47=4127,G47,0)+IF($F47=4019,G47,0)+IF($F47=4119,G47,0)+IF($F47=4129,G47,0)</f>
        <v>0</v>
      </c>
      <c r="M47" s="171">
        <f>IF($F47=4010,H47,0)+IF($F47=4110,H47,0)+IF($F47=4120,H47,0)+IF($F47=4017,H47,0)+IF($F47=4117,H47,0)+IF($F47=4127,H47,0)+IF($F47=4019,H47,0)+IF($F47=4119,H47,0)+IF($F47=4129,H47,0)</f>
        <v>0</v>
      </c>
      <c r="N47" s="171">
        <f>IF($B47=75022,G47,0)+IF($B47=75023,G47,0)</f>
        <v>0</v>
      </c>
      <c r="O47" s="171">
        <f>IF($B47=75022,H47,0)+IF($B47=75023,H47,0)</f>
        <v>0</v>
      </c>
    </row>
    <row r="48" spans="1:15" ht="12.75">
      <c r="A48" s="167"/>
      <c r="B48" s="177"/>
      <c r="C48" s="182"/>
      <c r="D48" s="178"/>
      <c r="E48" s="170"/>
      <c r="F48" s="177">
        <v>4410</v>
      </c>
      <c r="G48" s="178"/>
      <c r="H48" s="178">
        <v>100</v>
      </c>
      <c r="L48" s="171">
        <f>IF($F48=4010,G48,0)+IF($F48=4110,G48,0)+IF($F48=4120,G48,0)+IF($F48=4017,G48,0)+IF($F48=4117,G48,0)+IF($F48=4127,G48,0)+IF($F48=4019,G48,0)+IF($F48=4119,G48,0)+IF($F48=4129,G48,0)</f>
        <v>0</v>
      </c>
      <c r="M48" s="171">
        <f>IF($F48=4010,H48,0)+IF($F48=4110,H48,0)+IF($F48=4120,H48,0)+IF($F48=4017,H48,0)+IF($F48=4117,H48,0)+IF($F48=4127,H48,0)+IF($F48=4019,H48,0)+IF($F48=4119,H48,0)+IF($F48=4129,H48,0)</f>
        <v>0</v>
      </c>
      <c r="N48" s="171">
        <f>IF($B48=75022,G48,0)+IF($B48=75023,G48,0)</f>
        <v>0</v>
      </c>
      <c r="O48" s="171">
        <f>IF($B48=75022,H48,0)+IF($B48=75023,H48,0)</f>
        <v>0</v>
      </c>
    </row>
    <row r="49" spans="1:15" ht="12.75">
      <c r="A49" s="167"/>
      <c r="B49" s="177"/>
      <c r="C49" s="182"/>
      <c r="D49" s="178"/>
      <c r="E49" s="170"/>
      <c r="F49" s="177">
        <v>4440</v>
      </c>
      <c r="G49" s="178"/>
      <c r="H49" s="178">
        <v>5700</v>
      </c>
      <c r="L49" s="171">
        <f>IF($F49=4010,G49,0)+IF($F49=4110,G49,0)+IF($F49=4120,G49,0)+IF($F49=4017,G49,0)+IF($F49=4117,G49,0)+IF($F49=4127,G49,0)+IF($F49=4019,G49,0)+IF($F49=4119,G49,0)+IF($F49=4129,G49,0)</f>
        <v>0</v>
      </c>
      <c r="M49" s="171">
        <f>IF($F49=4010,H49,0)+IF($F49=4110,H49,0)+IF($F49=4120,H49,0)+IF($F49=4017,H49,0)+IF($F49=4117,H49,0)+IF($F49=4127,H49,0)+IF($F49=4019,H49,0)+IF($F49=4119,H49,0)+IF($F49=4129,H49,0)</f>
        <v>0</v>
      </c>
      <c r="N49" s="171">
        <f>IF($B49=75022,G49,0)+IF($B49=75023,G49,0)</f>
        <v>0</v>
      </c>
      <c r="O49" s="171">
        <f>IF($B49=75022,H49,0)+IF($B49=75023,H49,0)</f>
        <v>0</v>
      </c>
    </row>
    <row r="50" spans="1:15" ht="12.75">
      <c r="A50" s="167"/>
      <c r="B50" s="177"/>
      <c r="C50" s="182"/>
      <c r="D50" s="178"/>
      <c r="E50" s="170"/>
      <c r="F50" s="177">
        <v>4700</v>
      </c>
      <c r="G50" s="178"/>
      <c r="H50" s="178">
        <v>200</v>
      </c>
      <c r="L50" s="171">
        <f>IF($F50=4010,G50,0)+IF($F50=4110,G50,0)+IF($F50=4120,G50,0)+IF($F50=4017,G50,0)+IF($F50=4117,G50,0)+IF($F50=4127,G50,0)+IF($F50=4019,G50,0)+IF($F50=4119,G50,0)+IF($F50=4129,G50,0)</f>
        <v>0</v>
      </c>
      <c r="M50" s="171">
        <f>IF($F50=4010,H50,0)+IF($F50=4110,H50,0)+IF($F50=4120,H50,0)+IF($F50=4017,H50,0)+IF($F50=4117,H50,0)+IF($F50=4127,H50,0)+IF($F50=4019,H50,0)+IF($F50=4119,H50,0)+IF($F50=4129,H50,0)</f>
        <v>0</v>
      </c>
      <c r="N50" s="171">
        <f>IF($B50=75022,G50,0)+IF($B50=75023,G50,0)</f>
        <v>0</v>
      </c>
      <c r="O50" s="171">
        <f>IF($B50=75022,H50,0)+IF($B50=75023,H50,0)</f>
        <v>0</v>
      </c>
    </row>
    <row r="51" spans="1:15" ht="12.75">
      <c r="A51" s="167"/>
      <c r="B51" s="177"/>
      <c r="C51" s="182"/>
      <c r="D51" s="178"/>
      <c r="E51" s="170"/>
      <c r="F51" s="177"/>
      <c r="G51" s="178"/>
      <c r="H51" s="170"/>
      <c r="L51" s="171">
        <f>IF($F51=4010,G51,0)+IF($F51=4110,G51,0)+IF($F51=4120,G51,0)+IF($F51=4017,G51,0)+IF($F51=4117,G51,0)+IF($F51=4127,G51,0)+IF($F51=4019,G51,0)+IF($F51=4119,G51,0)+IF($F51=4129,G51,0)</f>
        <v>0</v>
      </c>
      <c r="M51" s="171">
        <f>IF($F51=4010,H51,0)+IF($F51=4110,H51,0)+IF($F51=4120,H51,0)+IF($F51=4017,H51,0)+IF($F51=4117,H51,0)+IF($F51=4127,H51,0)+IF($F51=4019,H51,0)+IF($F51=4119,H51,0)+IF($F51=4129,H51,0)</f>
        <v>0</v>
      </c>
      <c r="N51" s="171">
        <f>IF($B51=75022,G51,0)+IF($B51=75023,G51,0)</f>
        <v>0</v>
      </c>
      <c r="O51" s="171">
        <f>IF($B51=75022,H51,0)+IF($B51=75023,H51,0)</f>
        <v>0</v>
      </c>
    </row>
    <row r="52" spans="1:15" ht="12.75">
      <c r="A52" s="167"/>
      <c r="B52" s="177"/>
      <c r="C52" s="182"/>
      <c r="D52" s="178"/>
      <c r="E52" s="170"/>
      <c r="F52" s="177"/>
      <c r="G52" s="178"/>
      <c r="H52" s="170"/>
      <c r="L52" s="171">
        <f>IF($F52=4010,G52,0)+IF($F52=4110,G52,0)+IF($F52=4120,G52,0)+IF($F52=4017,G52,0)+IF($F52=4117,G52,0)+IF($F52=4127,G52,0)+IF($F52=4019,G52,0)+IF($F52=4119,G52,0)+IF($F52=4129,G52,0)</f>
        <v>0</v>
      </c>
      <c r="M52" s="171">
        <f>IF($F52=4010,H52,0)+IF($F52=4110,H52,0)+IF($F52=4120,H52,0)+IF($F52=4017,H52,0)+IF($F52=4117,H52,0)+IF($F52=4127,H52,0)+IF($F52=4019,H52,0)+IF($F52=4119,H52,0)+IF($F52=4129,H52,0)</f>
        <v>0</v>
      </c>
      <c r="N52" s="171">
        <f>IF($B52=75022,G52,0)+IF($B52=75023,G52,0)</f>
        <v>0</v>
      </c>
      <c r="O52" s="171">
        <f>IF($B52=75022,H52,0)+IF($B52=75023,H52,0)</f>
        <v>0</v>
      </c>
    </row>
    <row r="53" spans="1:15" ht="12.75">
      <c r="A53" s="167"/>
      <c r="B53" s="177"/>
      <c r="C53" s="182"/>
      <c r="D53" s="178"/>
      <c r="E53" s="170"/>
      <c r="F53" s="177"/>
      <c r="G53" s="178"/>
      <c r="H53" s="170"/>
      <c r="L53" s="171">
        <f>IF($F53=4010,G53,0)+IF($F53=4110,G53,0)+IF($F53=4120,G53,0)+IF($F53=4017,G53,0)+IF($F53=4117,G53,0)+IF($F53=4127,G53,0)+IF($F53=4019,G53,0)+IF($F53=4119,G53,0)+IF($F53=4129,G53,0)</f>
        <v>0</v>
      </c>
      <c r="M53" s="171">
        <f>IF($F53=4010,H53,0)+IF($F53=4110,H53,0)+IF($F53=4120,H53,0)+IF($F53=4017,H53,0)+IF($F53=4117,H53,0)+IF($F53=4127,H53,0)+IF($F53=4019,H53,0)+IF($F53=4119,H53,0)+IF($F53=4129,H53,0)</f>
        <v>0</v>
      </c>
      <c r="N53" s="171">
        <f>IF($B53=75022,G53,0)+IF($B53=75023,G53,0)</f>
        <v>0</v>
      </c>
      <c r="O53" s="171">
        <f>IF($B53=75022,H53,0)+IF($B53=75023,H53,0)</f>
        <v>0</v>
      </c>
    </row>
    <row r="54" spans="1:15" ht="12.75">
      <c r="A54" s="167"/>
      <c r="B54" s="168"/>
      <c r="C54" s="169"/>
      <c r="D54" s="170"/>
      <c r="E54" s="170"/>
      <c r="F54" s="168"/>
      <c r="G54" s="170"/>
      <c r="H54" s="170"/>
      <c r="L54" s="171">
        <f>IF($F54=4010,G54,0)+IF($F54=4110,G54,0)+IF($F54=4120,G54,0)+IF($F54=4017,G54,0)+IF($F54=4117,G54,0)+IF($F54=4127,G54,0)+IF($F54=4019,G54,0)+IF($F54=4119,G54,0)+IF($F54=4129,G54,0)</f>
        <v>0</v>
      </c>
      <c r="M54" s="171">
        <f>IF($F54=4010,H54,0)+IF($F54=4110,H54,0)+IF($F54=4120,H54,0)+IF($F54=4017,H54,0)+IF($F54=4117,H54,0)+IF($F54=4127,H54,0)+IF($F54=4019,H54,0)+IF($F54=4119,H54,0)+IF($F54=4129,H54,0)</f>
        <v>0</v>
      </c>
      <c r="N54" s="171">
        <f>IF($B54=75022,G54,0)+IF($B54=75023,G54,0)</f>
        <v>0</v>
      </c>
      <c r="O54" s="171">
        <f>IF($B54=75022,H54,0)+IF($B54=75023,H54,0)</f>
        <v>0</v>
      </c>
    </row>
    <row r="55" spans="1:15" ht="12.75">
      <c r="A55" s="167"/>
      <c r="B55" s="168"/>
      <c r="C55" s="169"/>
      <c r="D55" s="170"/>
      <c r="E55" s="170"/>
      <c r="F55" s="168"/>
      <c r="G55" s="170"/>
      <c r="H55" s="170"/>
      <c r="L55" s="171">
        <f>IF($F55=4010,G55,0)+IF($F55=4110,G55,0)+IF($F55=4120,G55,0)+IF($F55=4017,G55,0)+IF($F55=4117,G55,0)+IF($F55=4127,G55,0)+IF($F55=4019,G55,0)+IF($F55=4119,G55,0)+IF($F55=4129,G55,0)</f>
        <v>0</v>
      </c>
      <c r="M55" s="171">
        <f>IF($F55=4010,H55,0)+IF($F55=4110,H55,0)+IF($F55=4120,H55,0)+IF($F55=4017,H55,0)+IF($F55=4117,H55,0)+IF($F55=4127,H55,0)+IF($F55=4019,H55,0)+IF($F55=4119,H55,0)+IF($F55=4129,H55,0)</f>
        <v>0</v>
      </c>
      <c r="N55" s="171">
        <f>IF($B55=75022,G55,0)+IF($B55=75023,G55,0)</f>
        <v>0</v>
      </c>
      <c r="O55" s="171">
        <f>IF($B55=75022,H55,0)+IF($B55=75023,H55,0)</f>
        <v>0</v>
      </c>
    </row>
    <row r="56" spans="1:15" ht="12.75">
      <c r="A56" s="167"/>
      <c r="B56" s="168"/>
      <c r="C56" s="169"/>
      <c r="D56" s="170"/>
      <c r="E56" s="170"/>
      <c r="F56" s="168"/>
      <c r="G56" s="170"/>
      <c r="H56" s="170"/>
      <c r="L56" s="171">
        <f>IF($F56=4010,G56,0)+IF($F56=4110,G56,0)+IF($F56=4120,G56,0)+IF($F56=4017,G56,0)+IF($F56=4117,G56,0)+IF($F56=4127,G56,0)+IF($F56=4019,G56,0)+IF($F56=4119,G56,0)+IF($F56=4129,G56,0)</f>
        <v>0</v>
      </c>
      <c r="M56" s="171">
        <f>IF($F56=4010,H56,0)+IF($F56=4110,H56,0)+IF($F56=4120,H56,0)+IF($F56=4017,H56,0)+IF($F56=4117,H56,0)+IF($F56=4127,H56,0)+IF($F56=4019,H56,0)+IF($F56=4119,H56,0)+IF($F56=4129,H56,0)</f>
        <v>0</v>
      </c>
      <c r="N56" s="171">
        <f>IF($B56=75022,G56,0)+IF($B56=75023,G56,0)</f>
        <v>0</v>
      </c>
      <c r="O56" s="171">
        <f>IF($B56=75022,H56,0)+IF($B56=75023,H56,0)</f>
        <v>0</v>
      </c>
    </row>
    <row r="57" spans="1:15" ht="12.75" customHeight="1">
      <c r="A57" s="167"/>
      <c r="B57" s="183"/>
      <c r="C57" s="182"/>
      <c r="D57" s="178"/>
      <c r="E57" s="178"/>
      <c r="F57" s="177"/>
      <c r="G57" s="178"/>
      <c r="H57" s="178"/>
      <c r="L57" s="171">
        <f>IF($F57=4010,G57,0)+IF($F57=4110,G57,0)+IF($F57=4120,G57,0)+IF($F57=4017,G57,0)+IF($F57=4117,G57,0)+IF($F57=4127,G57,0)+IF($F57=4019,G57,0)+IF($F57=4119,G57,0)+IF($F57=4129,G57,0)</f>
        <v>0</v>
      </c>
      <c r="M57" s="171">
        <f>IF($F57=4010,H57,0)+IF($F57=4110,H57,0)+IF($F57=4120,H57,0)+IF($F57=4017,H57,0)+IF($F57=4117,H57,0)+IF($F57=4127,H57,0)+IF($F57=4019,H57,0)+IF($F57=4119,H57,0)+IF($F57=4129,H57,0)</f>
        <v>0</v>
      </c>
      <c r="N57" s="171">
        <f>IF($B57=75022,G57,0)+IF($B57=75023,G57,0)</f>
        <v>0</v>
      </c>
      <c r="O57" s="171">
        <f>IF($B57=75022,H57,0)+IF($B57=75023,H57,0)</f>
        <v>0</v>
      </c>
    </row>
    <row r="58" spans="1:8" ht="12.75">
      <c r="A58" s="184" t="s">
        <v>234</v>
      </c>
      <c r="B58" s="185"/>
      <c r="C58" s="185"/>
      <c r="D58" s="186">
        <f>SUM(D4:D57)</f>
        <v>0</v>
      </c>
      <c r="E58" s="186">
        <f>SUM(E4:E57)</f>
        <v>31000</v>
      </c>
      <c r="F58" s="187"/>
      <c r="G58" s="186">
        <f>SUM(G4:G57)</f>
        <v>175320</v>
      </c>
      <c r="H58" s="186">
        <f>SUM(H4:H57)</f>
        <v>206320</v>
      </c>
    </row>
    <row r="59" spans="1:8" ht="15" customHeight="1">
      <c r="A59" s="188" t="s">
        <v>235</v>
      </c>
      <c r="B59" s="188" t="s">
        <v>236</v>
      </c>
      <c r="C59" s="189"/>
      <c r="D59" s="190">
        <f>SUM(E58-D58)</f>
        <v>31000</v>
      </c>
      <c r="E59" s="190"/>
      <c r="F59" s="189"/>
      <c r="G59" s="190">
        <f>SUM(H58-G58)</f>
        <v>31000</v>
      </c>
      <c r="H59" s="190"/>
    </row>
    <row r="60" spans="1:8" ht="12.75">
      <c r="A60" s="188"/>
      <c r="B60" s="188"/>
      <c r="C60" s="189"/>
      <c r="D60" s="190"/>
      <c r="E60" s="190"/>
      <c r="F60" s="189"/>
      <c r="G60" s="190"/>
      <c r="H60" s="190"/>
    </row>
    <row r="61" spans="1:4" ht="12.75">
      <c r="A61" s="191" t="s">
        <v>237</v>
      </c>
      <c r="B61" s="191"/>
      <c r="C61" s="191"/>
      <c r="D61" s="192">
        <f>SUM(G59-D59)</f>
        <v>0</v>
      </c>
    </row>
    <row r="62" spans="2:15" ht="12.75">
      <c r="B62" s="168" t="s">
        <v>238</v>
      </c>
      <c r="C62" s="168"/>
      <c r="D62" s="168"/>
      <c r="E62" s="193" t="s">
        <v>239</v>
      </c>
      <c r="F62" s="193"/>
      <c r="G62" s="194">
        <f>L62</f>
        <v>123600</v>
      </c>
      <c r="H62" s="195">
        <f>M62</f>
        <v>120000</v>
      </c>
      <c r="L62" s="196">
        <f>SUM(L4:L57)</f>
        <v>123600</v>
      </c>
      <c r="M62" s="196">
        <f>SUM(M4:M57)</f>
        <v>120000</v>
      </c>
      <c r="N62" s="196">
        <f>SUM(N4:N57)</f>
        <v>11500</v>
      </c>
      <c r="O62" s="196">
        <f>SUM(O4:O57)</f>
        <v>11500</v>
      </c>
    </row>
    <row r="63" spans="2:8" ht="15" customHeight="1">
      <c r="B63" s="168" t="s">
        <v>240</v>
      </c>
      <c r="C63" s="168"/>
      <c r="D63" s="168"/>
      <c r="E63" s="197" t="s">
        <v>241</v>
      </c>
      <c r="F63" s="197"/>
      <c r="G63" s="198">
        <f>SUM(H62-G62)</f>
        <v>-3600</v>
      </c>
      <c r="H63" s="198"/>
    </row>
    <row r="64" spans="2:6" ht="12.75">
      <c r="B64" s="168" t="s">
        <v>242</v>
      </c>
      <c r="C64" s="168"/>
      <c r="D64" s="168"/>
      <c r="E64" s="199" t="s">
        <v>243</v>
      </c>
      <c r="F64" s="199"/>
    </row>
    <row r="65" spans="2:8" ht="14.25" customHeight="1">
      <c r="B65" s="200"/>
      <c r="C65" s="200"/>
      <c r="D65" s="200"/>
      <c r="E65" s="193" t="s">
        <v>244</v>
      </c>
      <c r="F65" s="193"/>
      <c r="G65" s="194">
        <f>N62</f>
        <v>11500</v>
      </c>
      <c r="H65" s="194">
        <f>O62</f>
        <v>11500</v>
      </c>
    </row>
    <row r="66" spans="2:8" ht="16.5" customHeight="1">
      <c r="B66" s="200"/>
      <c r="C66" s="200"/>
      <c r="D66" s="200"/>
      <c r="E66" s="197" t="s">
        <v>241</v>
      </c>
      <c r="F66" s="197"/>
      <c r="G66" s="198">
        <f>SUM(H65-G65)</f>
        <v>0</v>
      </c>
      <c r="H66" s="198"/>
    </row>
    <row r="67" spans="2:8" ht="12.75" customHeight="1">
      <c r="B67" s="200"/>
      <c r="C67" s="200"/>
      <c r="D67" s="200"/>
      <c r="E67" s="201" t="s">
        <v>245</v>
      </c>
      <c r="F67" s="201"/>
      <c r="G67" s="138"/>
      <c r="H67" s="138"/>
    </row>
    <row r="68" spans="2:4" ht="12.75" customHeight="1">
      <c r="B68" s="200"/>
      <c r="C68" s="200"/>
      <c r="D68" s="200"/>
    </row>
    <row r="69" spans="4:8" ht="12.75">
      <c r="D69" s="202" t="s">
        <v>246</v>
      </c>
      <c r="E69" s="202"/>
      <c r="G69" s="202" t="s">
        <v>247</v>
      </c>
      <c r="H69" s="202"/>
    </row>
    <row r="70" spans="4:8" ht="12.75">
      <c r="D70" s="203">
        <f>SUM(D12)</f>
        <v>0</v>
      </c>
      <c r="E70" s="203">
        <v>0</v>
      </c>
      <c r="G70" s="203">
        <v>0</v>
      </c>
      <c r="H70" s="203">
        <v>0</v>
      </c>
    </row>
    <row r="71" spans="1:8" ht="24.75" customHeight="1">
      <c r="A71" s="204" t="s">
        <v>248</v>
      </c>
      <c r="B71" s="204"/>
      <c r="C71" s="204"/>
      <c r="D71" s="205">
        <f>SUM(E70-D70)</f>
        <v>0</v>
      </c>
      <c r="E71" s="205"/>
      <c r="F71" s="206"/>
      <c r="G71" s="205">
        <f>SUM(H70-G70)</f>
        <v>0</v>
      </c>
      <c r="H71" s="205"/>
    </row>
    <row r="73" spans="4:8" ht="12.75">
      <c r="D73" s="202" t="s">
        <v>249</v>
      </c>
      <c r="E73" s="202"/>
      <c r="G73" s="202" t="s">
        <v>250</v>
      </c>
      <c r="H73" s="202"/>
    </row>
    <row r="74" spans="4:8" ht="12.75">
      <c r="D74" s="207">
        <f>SUM(D58-D70)</f>
        <v>0</v>
      </c>
      <c r="E74" s="207">
        <f>SUM(E58-E70)</f>
        <v>31000</v>
      </c>
      <c r="G74" s="207">
        <f>SUM(G58-G70)</f>
        <v>175320</v>
      </c>
      <c r="H74" s="207">
        <f>SUM(H58-H70)</f>
        <v>206320</v>
      </c>
    </row>
    <row r="75" spans="1:8" ht="24.75" customHeight="1">
      <c r="A75" s="204" t="s">
        <v>248</v>
      </c>
      <c r="B75" s="204"/>
      <c r="C75" s="204"/>
      <c r="D75" s="205">
        <f>SUM(E74-D74)</f>
        <v>31000</v>
      </c>
      <c r="E75" s="205"/>
      <c r="F75" s="206"/>
      <c r="G75" s="205">
        <f>SUM(H74-G74)</f>
        <v>31000</v>
      </c>
      <c r="H75" s="205"/>
    </row>
    <row r="77" spans="2:8" ht="12.75">
      <c r="B77" s="208" t="s">
        <v>251</v>
      </c>
      <c r="C77" s="208"/>
      <c r="D77" s="209">
        <f>SUM(D71+D75)</f>
        <v>31000</v>
      </c>
      <c r="E77" s="209"/>
      <c r="F77" s="138"/>
      <c r="G77" s="209">
        <f>SUM(G71+G75)</f>
        <v>31000</v>
      </c>
      <c r="H77" s="209"/>
    </row>
    <row r="78" ht="12.75">
      <c r="F78" s="171">
        <f>SUM()</f>
        <v>0</v>
      </c>
    </row>
    <row r="79" spans="1:8" ht="24.75" customHeight="1">
      <c r="A79" s="210" t="s">
        <v>252</v>
      </c>
      <c r="B79" s="210"/>
      <c r="C79" s="210"/>
      <c r="D79" s="211">
        <f>ABS(D71+D75)</f>
        <v>31000</v>
      </c>
      <c r="E79" s="211"/>
      <c r="F79" s="138"/>
      <c r="G79" s="211">
        <f>ABS(G71+G75)</f>
        <v>31000</v>
      </c>
      <c r="H79" s="211"/>
    </row>
  </sheetData>
  <sheetProtection selectLockedCells="1" selectUnlockedCells="1"/>
  <mergeCells count="40">
    <mergeCell ref="A1:H1"/>
    <mergeCell ref="C2:E2"/>
    <mergeCell ref="F2:H2"/>
    <mergeCell ref="L3:M3"/>
    <mergeCell ref="N3:O3"/>
    <mergeCell ref="I23:J23"/>
    <mergeCell ref="D59:E59"/>
    <mergeCell ref="G59:H59"/>
    <mergeCell ref="A61:C61"/>
    <mergeCell ref="B62:D62"/>
    <mergeCell ref="E62:F62"/>
    <mergeCell ref="B63:D63"/>
    <mergeCell ref="E63:F63"/>
    <mergeCell ref="G63:H63"/>
    <mergeCell ref="B64:D64"/>
    <mergeCell ref="E64:F64"/>
    <mergeCell ref="B65:D65"/>
    <mergeCell ref="E65:F65"/>
    <mergeCell ref="B66:D66"/>
    <mergeCell ref="E66:F66"/>
    <mergeCell ref="G66:H66"/>
    <mergeCell ref="B67:D67"/>
    <mergeCell ref="E67:F67"/>
    <mergeCell ref="B68:D68"/>
    <mergeCell ref="D69:E69"/>
    <mergeCell ref="G69:H69"/>
    <mergeCell ref="A71:C71"/>
    <mergeCell ref="D71:E71"/>
    <mergeCell ref="G71:H71"/>
    <mergeCell ref="D73:E73"/>
    <mergeCell ref="G73:H73"/>
    <mergeCell ref="A75:C75"/>
    <mergeCell ref="D75:E75"/>
    <mergeCell ref="G75:H75"/>
    <mergeCell ref="B77:C77"/>
    <mergeCell ref="D77:E77"/>
    <mergeCell ref="G77:H77"/>
    <mergeCell ref="A79:C79"/>
    <mergeCell ref="D79:E79"/>
    <mergeCell ref="G79:H79"/>
  </mergeCells>
  <printOptions/>
  <pageMargins left="0.31527777777777777" right="0.31527777777777777" top="0.7875" bottom="0.7875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2012-03-06T08:39:47Z</cp:lastPrinted>
  <dcterms:created xsi:type="dcterms:W3CDTF">2010-07-08T12:34:26Z</dcterms:created>
  <dcterms:modified xsi:type="dcterms:W3CDTF">2012-06-11T08:42:02Z</dcterms:modified>
  <cp:category/>
  <cp:version/>
  <cp:contentType/>
  <cp:contentStatus/>
  <cp:revision>108</cp:revision>
</cp:coreProperties>
</file>